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80" windowHeight="5640" activeTab="6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</sheets>
  <definedNames>
    <definedName name="_xlnm.Print_Area" localSheetId="4">'100'!$A$1:$O$142</definedName>
    <definedName name="_xlnm.Print_Area" localSheetId="5">'101'!$A$1:$T$36</definedName>
    <definedName name="_xlnm.Print_Area" localSheetId="6">'102'!$A$1:$Y$56</definedName>
    <definedName name="_xlnm.Print_Area" localSheetId="1">'97'!$A$1:$H$58</definedName>
    <definedName name="_xlnm.Print_Area" localSheetId="2">'98'!$A$1:$K$37</definedName>
    <definedName name="_xlnm.Print_Titles" localSheetId="4">'100'!$10:$10</definedName>
    <definedName name="_xlnm.Print_Titles" localSheetId="5">'101'!$11:$11</definedName>
    <definedName name="_xlnm.Print_Titles" localSheetId="6">'102'!$10:$10</definedName>
    <definedName name="_xlnm.Print_Titles" localSheetId="1">'97'!$11:$11</definedName>
    <definedName name="_xlnm.Print_Titles" localSheetId="2">'98'!$10:$10</definedName>
  </definedNames>
  <calcPr fullCalcOnLoad="1"/>
</workbook>
</file>

<file path=xl/sharedStrings.xml><?xml version="1.0" encoding="utf-8"?>
<sst xmlns="http://schemas.openxmlformats.org/spreadsheetml/2006/main" count="564" uniqueCount="326">
  <si>
    <t>BQL các DA Kinh tế Miền núi</t>
  </si>
  <si>
    <t>Bảo hiểm xã hội</t>
  </si>
  <si>
    <t>Các xã, thị trấn, đơn vị khác</t>
  </si>
  <si>
    <t>CHI HỖ TRỢ CÁC CƠ QUAN, TỔ CHỨC</t>
  </si>
  <si>
    <t>Hội Di sản văn hóa</t>
  </si>
  <si>
    <t>Hội Nuôi ong</t>
  </si>
  <si>
    <t>Hội bảo trợ bệnh nhân nghèo</t>
  </si>
  <si>
    <t>Hạt kiểm Lâm huyện</t>
  </si>
  <si>
    <t>Kho bạc NN huyện</t>
  </si>
  <si>
    <t>Bệnh viện đa khoa huyện</t>
  </si>
  <si>
    <t>Chi cục Thuế</t>
  </si>
  <si>
    <t>Liên đoàn LĐ huyện</t>
  </si>
  <si>
    <t>STT</t>
  </si>
  <si>
    <t>I</t>
  </si>
  <si>
    <t>II</t>
  </si>
  <si>
    <t>III</t>
  </si>
  <si>
    <t>IV</t>
  </si>
  <si>
    <t>B</t>
  </si>
  <si>
    <t>A</t>
  </si>
  <si>
    <t>C</t>
  </si>
  <si>
    <t>Trung tâm phát triển quỹ đất</t>
  </si>
  <si>
    <t>Trường Mầm non Nam Phong</t>
  </si>
  <si>
    <t>Trường Mầm non Minh Cầm</t>
  </si>
  <si>
    <t>Trường Mầm non Đồng Lâm</t>
  </si>
  <si>
    <t>Trường Mầm non Đức Phú</t>
  </si>
  <si>
    <t>Trường Mầm non Thiết Sơn</t>
  </si>
  <si>
    <t>Trường Mầm non Đồng Lê</t>
  </si>
  <si>
    <t>NH chính sách xã hội</t>
  </si>
  <si>
    <t>Biểu số 96/CK-NSNN</t>
  </si>
  <si>
    <t xml:space="preserve">  UỶ BAN NHÂN DÂN </t>
  </si>
  <si>
    <t xml:space="preserve"> HUYỆN  TUYÊN HOÁ                                                                           </t>
  </si>
  <si>
    <t>của Uỷ ban Nhân dân huyện Tuyên Hoá)</t>
  </si>
  <si>
    <t>Chi đầu tư phát triển</t>
  </si>
  <si>
    <t>Chi thường xuyên</t>
  </si>
  <si>
    <t>Chi chuyển nguồn sang năm sau</t>
  </si>
  <si>
    <t>Nội dung</t>
  </si>
  <si>
    <t>Dự toán</t>
  </si>
  <si>
    <t>Quyết toán</t>
  </si>
  <si>
    <t>So sánh (%)</t>
  </si>
  <si>
    <t>TỔNG NGUỒN THU NGÂN SÁCH HUYỆN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</si>
  <si>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</si>
  <si>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</si>
  <si>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</si>
  <si>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</si>
  <si>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Thu bổ sung từ ngân sách cấp tỉnh</t>
  </si>
  <si>
    <t>Thu bổ sung cân đối</t>
  </si>
  <si>
    <t>Thu bổ sung có mục tiêu</t>
  </si>
  <si>
    <t>Thu kết dư</t>
  </si>
  <si>
    <t>Thu chuyển nguồn từ năm trước chuyển sang</t>
  </si>
  <si>
    <t>TỔNG CHI NGÂN SÁCH HUYỆN</t>
  </si>
  <si>
    <t>Chi cân đối ngân sách huyện</t>
  </si>
  <si>
    <t>Dự phòng ngân sách</t>
  </si>
  <si>
    <t>Chi tạo nguồn, điều chỉnh tiền lương</t>
  </si>
  <si>
    <t>Chi các chương trình mục tiêu quốc gia</t>
  </si>
  <si>
    <t>Chi các chương trình mục tiêu, nhiệm vụ</t>
  </si>
  <si>
    <t>So sánh           (%)</t>
  </si>
  <si>
    <t>Biểu số 97/CK-NSNN</t>
  </si>
  <si>
    <t>Thu NSNN</t>
  </si>
  <si>
    <t>Thu NS huyện</t>
  </si>
  <si>
    <t>So sánh QT/DT (%)</t>
  </si>
  <si>
    <t>TỔNG NGUỒN THU NSNN</t>
  </si>
  <si>
    <t>TỔNG THU CÂN ĐỐI NSNN</t>
  </si>
  <si>
    <t>Thu nội địa</t>
  </si>
  <si>
    <t xml:space="preserve">Thu từ khu vực DNNN do Trung ương quản lý </t>
  </si>
  <si>
    <t xml:space="preserve">Thu từ khu vực DNNN do Địa phương quản lý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</si>
  <si>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</si>
  <si>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</si>
  <si>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</si>
  <si>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</si>
  <si>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</si>
  <si>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</si>
  <si>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</si>
  <si>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</si>
  <si>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</si>
  <si>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</si>
  <si>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</si>
  <si>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 xml:space="preserve">Thu từ hoạt động xổ số kiến thiết </t>
  </si>
  <si>
    <t>Thu tiền cấp quyền khai thác khoáng sản</t>
  </si>
  <si>
    <t>Thu khác ngân sách</t>
  </si>
  <si>
    <t>Thu từ quỹ đất công ích, hoa lợi công sản khác</t>
  </si>
  <si>
    <t>Thu viện trợ</t>
  </si>
  <si>
    <t>THU KẾT DƯ NĂM TRƯỚC</t>
  </si>
  <si>
    <t>THU CHUYỂN NGUỒN TỪ NĂM TRƯỚC CHUYỂN SANG</t>
  </si>
  <si>
    <t>Thuế GTGT hàng SX-KD trong nước</t>
  </si>
  <si>
    <t>Thuế TTĐB hàng SX trong nước</t>
  </si>
  <si>
    <t>Thuế thu nhập doanh nghiệp</t>
  </si>
  <si>
    <t>Thu từ thu nhập sau thuế</t>
  </si>
  <si>
    <t>Thuế tài nguyên</t>
  </si>
  <si>
    <t>Thuế môn bài</t>
  </si>
  <si>
    <t>Thu khác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</si>
  <si>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</si>
  <si>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</si>
  <si>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</si>
  <si>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</si>
  <si>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</si>
  <si>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</si>
  <si>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</si>
  <si>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</si>
  <si>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</si>
  <si>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</si>
  <si>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</si>
  <si>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</si>
  <si>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</si>
  <si>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</si>
  <si>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</si>
  <si>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</si>
  <si>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</si>
  <si>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</si>
  <si>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</si>
  <si>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</si>
  <si>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D</t>
  </si>
  <si>
    <t>Thu tại xã</t>
  </si>
  <si>
    <t>Biểu số 98/CK-NSNN</t>
  </si>
  <si>
    <t>Ngân sách cấp huyện</t>
  </si>
  <si>
    <t>Ngân sách xã</t>
  </si>
  <si>
    <t>NS huyện</t>
  </si>
  <si>
    <t>CHI CÂN ĐỐI NGÂN SÁCH HUYỆN</t>
  </si>
  <si>
    <t>Chi đầu tư cho các dự án</t>
  </si>
  <si>
    <t>Trong đó chia theo lĩnh vực:</t>
  </si>
  <si>
    <t>Chi giáo dục - đào tạo và dạy nghề</t>
  </si>
  <si>
    <t>Chi khoa học và công nghệ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</si>
  <si>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</si>
  <si>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</si>
  <si>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</si>
  <si>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</si>
  <si>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>Trong đó:</t>
  </si>
  <si>
    <t>CHI CÁC CHƯƠNG TRÌNH MỤC TIÊU</t>
  </si>
  <si>
    <t>CHI CHUYỂN NGUỒN SANG NĂM SAU</t>
  </si>
  <si>
    <t>NS cấp huyện</t>
  </si>
  <si>
    <t>CHI THEO MỤC TIÊU QL QUA NSNN</t>
  </si>
  <si>
    <t>Biểu số 99/CK-NSNN</t>
  </si>
  <si>
    <t>CHI BỔ SUNG CÂN ĐỐI CHO NGÂN SÁCH XÃ</t>
  </si>
  <si>
    <t>CHI NGÂN SÁCH CẤP HUYỆN THEO LĨNH VỰC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</si>
  <si>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</si>
  <si>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</si>
  <si>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</si>
  <si>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</si>
  <si>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</si>
  <si>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1.8</t>
  </si>
  <si>
    <t>Chi các hoạt động kinh tế</t>
  </si>
  <si>
    <t>1.9</t>
  </si>
  <si>
    <t>Chi hoạt động của cơ quan quản lý nhà nước, đảng, đoàn thể</t>
  </si>
  <si>
    <t>1.10</t>
  </si>
  <si>
    <t>Chi bảo đảm xã hội</t>
  </si>
  <si>
    <t xml:space="preserve">Dự phòng ngân sách </t>
  </si>
  <si>
    <t xml:space="preserve">Chi tạo nguồn, điều chỉnh tiền lương </t>
  </si>
  <si>
    <t>CHI THEO MỤC TIÊU QUẢN LÝ QUA NSNN</t>
  </si>
  <si>
    <t>Chi đầu tư PT</t>
  </si>
  <si>
    <t>Chi CTMT</t>
  </si>
  <si>
    <t>Tổng số</t>
  </si>
  <si>
    <t>Đơn vị</t>
  </si>
  <si>
    <t>Trường Mầm non Văn Hoá</t>
  </si>
  <si>
    <t>Trường Mầm non Tiến Hoá</t>
  </si>
  <si>
    <t>Trường Mầm non Châu Hoá</t>
  </si>
  <si>
    <t>Trường Mầm non Cao Quảng</t>
  </si>
  <si>
    <t>Trường Mầm non Mai Hoá</t>
  </si>
  <si>
    <t>Trường MN Ngư Hóa</t>
  </si>
  <si>
    <t>Trường Mầm non Huyền Thuỷ</t>
  </si>
  <si>
    <t>Trường Mầm non Nam Hóa</t>
  </si>
  <si>
    <t xml:space="preserve">Trường Mầm non Đồng Hoá </t>
  </si>
  <si>
    <t>Trường Mầm non Sơn Hoá</t>
  </si>
  <si>
    <t>Trường Mầm non Thuận Hoá</t>
  </si>
  <si>
    <t>Trường Mầm non Lê Hoá</t>
  </si>
  <si>
    <t>Trường  Mầm non Tân Thuỷ</t>
  </si>
  <si>
    <t>Trường Mầm non Kim Lũ</t>
  </si>
  <si>
    <t>Trường Mầm non  Thanh Thạch</t>
  </si>
  <si>
    <t>Trường Mầm non Hương Hoá</t>
  </si>
  <si>
    <t>Trường Mầm non Bắc Sơn</t>
  </si>
  <si>
    <t>Trường Mầm non Thanh Lạng</t>
  </si>
  <si>
    <t>Trường Mầm non  Lâm Hoá</t>
  </si>
  <si>
    <t>Trường Tiểu học Văn Hoá</t>
  </si>
  <si>
    <t>Trường Tiểu học Lê Trực</t>
  </si>
  <si>
    <t>Trường Tiểu học Thanh Thuỷ</t>
  </si>
  <si>
    <t>Trường Tiểu học số 1 Châu Hoá</t>
  </si>
  <si>
    <t>Trường Tiểu học số 2 Châu Hoá</t>
  </si>
  <si>
    <t>Trường Tiểu học Cao Quảng</t>
  </si>
  <si>
    <t>Trường Tiểu học Xuân Mai</t>
  </si>
  <si>
    <t>Trường Tiểu học Liên Sơn</t>
  </si>
  <si>
    <t>Trường Tiểu học số 1 Phong Hoá</t>
  </si>
  <si>
    <t>Trường Tiểu học số 2 Phong Hoá</t>
  </si>
  <si>
    <t>Trường Tiểu học Đồng Lâm</t>
  </si>
  <si>
    <t>Trường Tiểu học Đức Phú</t>
  </si>
  <si>
    <t>Trường Tiểu học Huyền Thuỷ</t>
  </si>
  <si>
    <t>Trường Tiểu học Thiết Sơn</t>
  </si>
  <si>
    <t>Trường Tiểu học Sơn Hoá</t>
  </si>
  <si>
    <t>Trường Tiểu học Đồng Hoá</t>
  </si>
  <si>
    <t>Trường Tiểu học số 1 Đồng Lê</t>
  </si>
  <si>
    <t>Trường Tiểu học số 2 Đồng Lê</t>
  </si>
  <si>
    <t>Trường Tiểu học Thuận Hoá</t>
  </si>
  <si>
    <t>Trường Tiểu học Lê Hoá</t>
  </si>
  <si>
    <t>Trường Tiểu học Tân Thuỷ</t>
  </si>
  <si>
    <t>Trường Tiểu học Kim Lũ</t>
  </si>
  <si>
    <t>Trường Tiểu học Hương Hoá</t>
  </si>
  <si>
    <t>Trường Tiểu học Bắc Sơn</t>
  </si>
  <si>
    <t>Trường Tiểu học Thanh Lạng</t>
  </si>
  <si>
    <t>Trường Tiểu học Thanh Thạch</t>
  </si>
  <si>
    <t>Trường THCS Văn Hoá</t>
  </si>
  <si>
    <t>Trường THCS Tiến Hoá</t>
  </si>
  <si>
    <t>Trường THCS Châu Hoá</t>
  </si>
  <si>
    <t>Trường THCS Cao Quảng</t>
  </si>
  <si>
    <t>Trường THCS Mai Hoá</t>
  </si>
  <si>
    <t>Trường THCS Phong Hoá</t>
  </si>
  <si>
    <t>Trường THCS Đức Hoá</t>
  </si>
  <si>
    <t>Trường THCS  Thạch Hoá</t>
  </si>
  <si>
    <t>Trường THCS Đồng Hoá</t>
  </si>
  <si>
    <t>Trường THCS Sơn Hoá</t>
  </si>
  <si>
    <t>Trường THCS Đồng Lê</t>
  </si>
  <si>
    <t>Trường THCS Thuận Hoá</t>
  </si>
  <si>
    <t>Trường THCS Lê Hoá</t>
  </si>
  <si>
    <t>Trường THCS Kim Hoá</t>
  </si>
  <si>
    <t>Trường THCS Hương Hoá</t>
  </si>
  <si>
    <t>Trường THCS Thanh Hoá</t>
  </si>
  <si>
    <t>Trường THCS Thanh Thạch</t>
  </si>
  <si>
    <t>Trường TH &amp; THCS Nam Hoá</t>
  </si>
  <si>
    <t>Tr. PTDTBT TH &amp; THCS Lâm Hoá</t>
  </si>
  <si>
    <t>Trường TH &amp; THCS Ngư Hoá</t>
  </si>
  <si>
    <t xml:space="preserve">QUYẾT TOÁN CHI CỦA CƠ QUAN ĐƠN VỊ </t>
  </si>
  <si>
    <t>Hội đồng nhân dân</t>
  </si>
  <si>
    <t>VP HDND&amp;UBND huyện</t>
  </si>
  <si>
    <t>Trung tâm DS-KHHGĐ</t>
  </si>
  <si>
    <t>Phòng  LĐTB&amp;XH</t>
  </si>
  <si>
    <t xml:space="preserve">Phòng Kinh tế - Hạ tầng huyện </t>
  </si>
  <si>
    <t>UB Mặt trận TQVN huyện</t>
  </si>
  <si>
    <t xml:space="preserve">Huyện đoàn </t>
  </si>
  <si>
    <t>Hội LH Phụ nữ huyện</t>
  </si>
  <si>
    <t>Thanh tra huyện</t>
  </si>
  <si>
    <t>Trung tâm BD chính trị huyện</t>
  </si>
  <si>
    <t>Trạm khuyến nông</t>
  </si>
  <si>
    <t>Trung tâm tư vấn xây dựng</t>
  </si>
  <si>
    <t>Chi nộp ngân sách cấp trên</t>
  </si>
  <si>
    <t>Đơn vị tính: Triệu đồng</t>
  </si>
  <si>
    <t>V</t>
  </si>
  <si>
    <t xml:space="preserve"> Đơn vị tính: Triệu đồng</t>
  </si>
  <si>
    <t>Đ</t>
  </si>
  <si>
    <t>CHI NỘP NGÂN SÁCH CẤP TRÊN</t>
  </si>
  <si>
    <t>Chương trình mục tiêu quốc gia XDNT mới</t>
  </si>
  <si>
    <t>E</t>
  </si>
  <si>
    <t>Chi đầu tư PT (bao gồm cả CN, bổ sung, không kể CTMT)</t>
  </si>
  <si>
    <t>Chi đầu tư PT (không kể CTMT)</t>
  </si>
  <si>
    <t>của UBND huyện Tuyên Hoá)</t>
  </si>
  <si>
    <t>Biểu số 100/CK-NSNN</t>
  </si>
  <si>
    <t>TỔNG CHI NGÂN SÁCH CẤP HUYỆN</t>
  </si>
  <si>
    <t xml:space="preserve">Chương trình giảm nghèo bền vững </t>
  </si>
  <si>
    <t>Văn phòng Huyện uỷ</t>
  </si>
  <si>
    <t>CÂN ĐỐI NGÂN SÁCH HUYỆN NĂM 2018</t>
  </si>
  <si>
    <t>Chi trả nợ KCH KM, GTNT</t>
  </si>
  <si>
    <t>Thu ngân sách cấp dưới nộp lên</t>
  </si>
  <si>
    <t>Chi tạo nguồn điều chỉnh tiền lương</t>
  </si>
  <si>
    <t>QUYẾT TOÁN NGUỒN THU NGÂN SÁCH NHÀ NƯỚC NĂM 2018</t>
  </si>
  <si>
    <t>Chi trả nợ vay KCHKM, GTNT</t>
  </si>
  <si>
    <t>QUYẾT TOÁN CHI NGÂN SÁCH HUYỆN, CHI NGÂN SÁCH CẤP HUYỆN VÀ CHI NGÂN SÁCH XÃ THEO CƠ CẤU CHI NĂM 2018</t>
  </si>
  <si>
    <t>QUYẾT TOÁN CHI NGÂN SÁCH CẤP HUYỆN THEO TỪNG LĨNH VỰC NĂM 2018</t>
  </si>
  <si>
    <t>Hội Chữ thập đỏ và các hội đặc thù</t>
  </si>
  <si>
    <t>Đội quản lý thị trường số 4 (cũ)</t>
  </si>
  <si>
    <t>QUYẾT TOÁN CHI NGÂN SÁCH CẤP HUYỆN CHO TỪNG CƠ QUAN, TỔ CHỨC NĂM 2018</t>
  </si>
  <si>
    <t>Hội BT bệnh nhân nghèo tỉnh QB</t>
  </si>
  <si>
    <t>Trạm Thú y (cũ)</t>
  </si>
  <si>
    <t>QUYẾT TOÁN CHI BỔ SUNG TỪ NGÂN SÁCH CẤP HUYỆN CHO NGÂN SÁCH TỪNG XÃ NĂM 2018</t>
  </si>
  <si>
    <t>Đơn vị: Triệu đồng</t>
  </si>
  <si>
    <t>Tên đơn vị</t>
  </si>
  <si>
    <t>Bổ sung cân đối</t>
  </si>
  <si>
    <t>Bổ sung có mục tiêu</t>
  </si>
  <si>
    <t>Bổ sung vốn đầu tư để thực hiện các CTMT, nhiệm vụ</t>
  </si>
  <si>
    <t>Bổ sung vốn SN để thực hiện các chế độ, CS và nhiệm vụ theo quy định</t>
  </si>
  <si>
    <t>Bổ sung thực hiện các CTMT quốc gia</t>
  </si>
  <si>
    <t>Bổ sung vốnSNđể thực hiện các chế độ, CS và nhiệm vụ theo quy định</t>
  </si>
  <si>
    <t>13=7/1</t>
  </si>
  <si>
    <t>14=8/2</t>
  </si>
  <si>
    <t>15=9/3</t>
  </si>
  <si>
    <t>16=10/4</t>
  </si>
  <si>
    <t>17=11/5</t>
  </si>
  <si>
    <t>18=12/6</t>
  </si>
  <si>
    <t>TỔNG SỐ</t>
  </si>
  <si>
    <t>Xã Lâm Hóa</t>
  </si>
  <si>
    <t>Xã Hương Hóa</t>
  </si>
  <si>
    <t>Xã Thanh Hóa</t>
  </si>
  <si>
    <t>Xã Lê Hóa</t>
  </si>
  <si>
    <t>Xã Thuận Hóa</t>
  </si>
  <si>
    <t>Xã Đức Hóa</t>
  </si>
  <si>
    <t>Xã Kim Hóa</t>
  </si>
  <si>
    <t>Xã Thạch Hóa</t>
  </si>
  <si>
    <t>Xã Phong Hóa</t>
  </si>
  <si>
    <t>Xã Đồng Hóa</t>
  </si>
  <si>
    <t>Xã Tiến Hóa</t>
  </si>
  <si>
    <t>Xã Mai Hóa</t>
  </si>
  <si>
    <t>Xã Văn Hóa</t>
  </si>
  <si>
    <t>Xã Châu Hóa</t>
  </si>
  <si>
    <t>Xã Cao Quảng</t>
  </si>
  <si>
    <t>Xã Ngư Hóa</t>
  </si>
  <si>
    <t>Thị trấn Đồng Lê</t>
  </si>
  <si>
    <t>Xã Sơn Hóa</t>
  </si>
  <si>
    <t>Xã Thanh Thạch</t>
  </si>
  <si>
    <t>Xã Nam Hóa</t>
  </si>
  <si>
    <t>Biểu số 101/CK-NSNN</t>
  </si>
  <si>
    <t>UBND HUYỆN TUYÊN HÓA</t>
  </si>
  <si>
    <t>Biểu số 102/CK-NSNN</t>
  </si>
  <si>
    <t>QUYẾT TOÁN CHI CHƯƠNG TRÌNH MỤC TIÊU QUỐC GIA NGÂN SÁCH CẤP HUYỆN VÀ NGÂN SÁCH XÃ NĂM 2018</t>
  </si>
  <si>
    <t>Trong đó</t>
  </si>
  <si>
    <t>Đầu tư phát triển</t>
  </si>
  <si>
    <t>Kinh phí sự nghiệp</t>
  </si>
  <si>
    <t>Vốn trong nước</t>
  </si>
  <si>
    <t>Vốn ngoài nước</t>
  </si>
  <si>
    <t>Phòng NN&amp;PTNT huyện</t>
  </si>
  <si>
    <t>Phòng LĐTB&amp;XH huyện</t>
  </si>
  <si>
    <t>KP sự nghiệp</t>
  </si>
  <si>
    <t>Chương trình MTQG giảm nghèo bền vững</t>
  </si>
  <si>
    <t>Chương trình MTQG xây dựng nông thôn mới</t>
  </si>
  <si>
    <t>Hội Cựu chiến binh huyện</t>
  </si>
  <si>
    <t>Hội nông dân huyện</t>
  </si>
  <si>
    <t>Phòng Nội vụ huyện</t>
  </si>
  <si>
    <t>Phòng Văn hóa và Thông tin huyện</t>
  </si>
  <si>
    <t>Trung tâm VHTT-TT huyện</t>
  </si>
  <si>
    <t>Đài TTTH huyện</t>
  </si>
  <si>
    <t>BQL các công trình công cộng huyện</t>
  </si>
  <si>
    <t>Ban QL rừng phòng hộ huyện</t>
  </si>
  <si>
    <t>Trung tâm GD - Dạy nghề huyện</t>
  </si>
  <si>
    <t>Phòng Y tế huyện</t>
  </si>
  <si>
    <t>Phòng Tài chính - KH huyện</t>
  </si>
  <si>
    <t>Phòng giáo dục - đào tạo huyện</t>
  </si>
  <si>
    <t>Hội Cựu giáo chức huyện</t>
  </si>
  <si>
    <t>(Kèm theo Quyết định số  1950 /QĐ-UBND ngày  22 tháng 8  năm 2019 của Ủy ban nhân dân huyện Tuyên Hóa)</t>
  </si>
  <si>
    <t>(Kèm theo Quyết định số 1950/QĐ-UBND ngày 22 tháng 8 năm 2019</t>
  </si>
  <si>
    <t>(Kèm theo Quyết định số  1950/QĐ-UBND ngày  22 tháng 8 năm 2019</t>
  </si>
  <si>
    <t>(Kèm theo Quyết định số 1950/QĐ-UBND ngày  22 tháng 8 năm 2019 của UBND huyện Tuyên Hóa)</t>
  </si>
  <si>
    <t>(Kèm theo Quyết định số 1950/QĐ-UBND ngày  22 tháng 8  năm 2019 của UBND huyện Tuyên Hóa)</t>
  </si>
  <si>
    <t>(Kèm theo Quyết định số  1950/QĐ-UBND ngày  22  tháng  8  năm 2019 của UBND huyện Tuyên Hóa)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</si>
</sst>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,###"/>
    <numFmt numFmtId="174" formatCode="#,#00"/>
    <numFmt numFmtId="175" formatCode="#,#00.00"/>
    <numFmt numFmtId="176" formatCode="#,#00.0000"/>
    <numFmt numFmtId="177" formatCode="0.0"/>
    <numFmt numFmtId="178" formatCode="_(* #,##0.00000_);_(* \(#,##0.00000\);_(* &quot;-&quot;??_);_(@_)"/>
    <numFmt numFmtId="179" formatCode="#,#00.0"/>
    <numFmt numFmtId="180" formatCode="#,#00.000"/>
    <numFmt numFmtId="181" formatCode="0.0000"/>
    <numFmt numFmtId="182" formatCode="0.000"/>
    <numFmt numFmtId="183" formatCode="#,###"/>
    <numFmt numFmtId="184" formatCode="#,#00.00000"/>
    <numFmt numFmtId="185" formatCode="#,#00.000000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00000"/>
  </numFmts>
  <fonts count="86">
    <font>
      <sz val="12"/>
      <name val=".VnTime"/>
      <family val="0"/>
    </font>
    <font>
      <b/>
      <sz val="12"/>
      <name val=".VNTIME"/>
      <family val="2"/>
    </font>
    <font>
      <sz val="8"/>
      <name val=".VnTime"/>
      <family val="0"/>
    </font>
    <font>
      <b/>
      <sz val="10"/>
      <name val=".VnTime"/>
      <family val="2"/>
    </font>
    <font>
      <sz val="11"/>
      <name val=".VnTime"/>
      <family val="2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.VnTime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ourier New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ourier New"/>
      <family val="3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67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9" fillId="0" borderId="15" xfId="0" applyFont="1" applyFill="1" applyBorder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74" fontId="4" fillId="0" borderId="15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8" fillId="0" borderId="11" xfId="0" applyNumberFormat="1" applyFont="1" applyBorder="1" applyAlignment="1">
      <alignment horizontal="right" vertical="center" wrapText="1"/>
    </xf>
    <xf numFmtId="167" fontId="1" fillId="0" borderId="11" xfId="42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167" fontId="1" fillId="0" borderId="16" xfId="42" applyNumberFormat="1" applyFont="1" applyBorder="1" applyAlignment="1">
      <alignment/>
    </xf>
    <xf numFmtId="177" fontId="8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4" fontId="8" fillId="0" borderId="17" xfId="0" applyNumberFormat="1" applyFont="1" applyBorder="1" applyAlignment="1">
      <alignment horizontal="right" vertical="center" wrapText="1"/>
    </xf>
    <xf numFmtId="175" fontId="9" fillId="0" borderId="11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77" fontId="9" fillId="0" borderId="17" xfId="0" applyNumberFormat="1" applyFont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right" vertical="center" wrapText="1"/>
    </xf>
    <xf numFmtId="174" fontId="8" fillId="0" borderId="16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74" fontId="8" fillId="0" borderId="18" xfId="0" applyNumberFormat="1" applyFont="1" applyBorder="1" applyAlignment="1">
      <alignment horizontal="right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174" fontId="8" fillId="0" borderId="19" xfId="0" applyNumberFormat="1" applyFont="1" applyBorder="1" applyAlignment="1">
      <alignment horizontal="right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67" fontId="7" fillId="0" borderId="15" xfId="42" applyNumberFormat="1" applyFont="1" applyBorder="1" applyAlignment="1">
      <alignment/>
    </xf>
    <xf numFmtId="167" fontId="13" fillId="0" borderId="15" xfId="42" applyNumberFormat="1" applyFont="1" applyBorder="1" applyAlignment="1">
      <alignment/>
    </xf>
    <xf numFmtId="177" fontId="7" fillId="0" borderId="15" xfId="42" applyNumberFormat="1" applyFont="1" applyBorder="1" applyAlignment="1">
      <alignment/>
    </xf>
    <xf numFmtId="166" fontId="7" fillId="0" borderId="15" xfId="42" applyNumberFormat="1" applyFont="1" applyBorder="1" applyAlignment="1">
      <alignment/>
    </xf>
    <xf numFmtId="0" fontId="21" fillId="0" borderId="15" xfId="42" applyNumberFormat="1" applyFont="1" applyBorder="1" applyAlignment="1">
      <alignment/>
    </xf>
    <xf numFmtId="2" fontId="7" fillId="0" borderId="15" xfId="42" applyNumberFormat="1" applyFont="1" applyBorder="1" applyAlignment="1">
      <alignment/>
    </xf>
    <xf numFmtId="166" fontId="4" fillId="0" borderId="15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8" fillId="0" borderId="16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174" fontId="3" fillId="0" borderId="21" xfId="0" applyNumberFormat="1" applyFont="1" applyBorder="1" applyAlignment="1">
      <alignment horizontal="right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67" fontId="7" fillId="0" borderId="22" xfId="42" applyNumberFormat="1" applyFont="1" applyBorder="1" applyAlignment="1">
      <alignment/>
    </xf>
    <xf numFmtId="167" fontId="13" fillId="0" borderId="22" xfId="42" applyNumberFormat="1" applyFont="1" applyBorder="1" applyAlignment="1">
      <alignment/>
    </xf>
    <xf numFmtId="166" fontId="7" fillId="0" borderId="22" xfId="42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167" fontId="7" fillId="0" borderId="23" xfId="42" applyNumberFormat="1" applyFont="1" applyBorder="1" applyAlignment="1">
      <alignment/>
    </xf>
    <xf numFmtId="174" fontId="4" fillId="0" borderId="23" xfId="0" applyNumberFormat="1" applyFont="1" applyBorder="1" applyAlignment="1">
      <alignment horizontal="right" vertical="center" wrapText="1"/>
    </xf>
    <xf numFmtId="167" fontId="13" fillId="0" borderId="23" xfId="42" applyNumberFormat="1" applyFont="1" applyBorder="1" applyAlignment="1">
      <alignment/>
    </xf>
    <xf numFmtId="177" fontId="7" fillId="0" borderId="23" xfId="42" applyNumberFormat="1" applyFont="1" applyBorder="1" applyAlignment="1">
      <alignment/>
    </xf>
    <xf numFmtId="166" fontId="4" fillId="0" borderId="22" xfId="0" applyNumberFormat="1" applyFont="1" applyBorder="1" applyAlignment="1">
      <alignment horizontal="righ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4" fontId="21" fillId="0" borderId="10" xfId="0" applyNumberFormat="1" applyFont="1" applyBorder="1" applyAlignment="1">
      <alignment wrapText="1"/>
    </xf>
    <xf numFmtId="177" fontId="21" fillId="0" borderId="10" xfId="0" applyNumberFormat="1" applyFont="1" applyBorder="1" applyAlignment="1">
      <alignment horizontal="center" vertical="center" wrapText="1"/>
    </xf>
    <xf numFmtId="174" fontId="21" fillId="0" borderId="11" xfId="0" applyNumberFormat="1" applyFont="1" applyBorder="1" applyAlignment="1">
      <alignment wrapText="1"/>
    </xf>
    <xf numFmtId="177" fontId="21" fillId="0" borderId="11" xfId="0" applyNumberFormat="1" applyFont="1" applyBorder="1" applyAlignment="1">
      <alignment horizontal="center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7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horizontal="righ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4" fontId="25" fillId="0" borderId="11" xfId="0" applyNumberFormat="1" applyFont="1" applyBorder="1" applyAlignment="1">
      <alignment wrapText="1"/>
    </xf>
    <xf numFmtId="174" fontId="25" fillId="0" borderId="11" xfId="0" applyNumberFormat="1" applyFont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left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4" fontId="25" fillId="0" borderId="11" xfId="0" applyNumberFormat="1" applyFont="1" applyBorder="1" applyAlignment="1">
      <alignment horizontal="left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4" fontId="21" fillId="0" borderId="16" xfId="0" applyNumberFormat="1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174" fontId="21" fillId="0" borderId="17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177" fontId="11" fillId="0" borderId="17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174" fontId="11" fillId="0" borderId="12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8" fillId="0" borderId="2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74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Alignment="1">
      <alignment/>
    </xf>
    <xf numFmtId="167" fontId="29" fillId="0" borderId="15" xfId="42" applyNumberFormat="1" applyFont="1" applyFill="1" applyBorder="1" applyAlignment="1">
      <alignment/>
    </xf>
    <xf numFmtId="167" fontId="30" fillId="0" borderId="15" xfId="42" applyNumberFormat="1" applyFont="1" applyFill="1" applyBorder="1" applyAlignment="1">
      <alignment/>
    </xf>
    <xf numFmtId="167" fontId="7" fillId="33" borderId="15" xfId="42" applyNumberFormat="1" applyFont="1" applyFill="1" applyBorder="1" applyAlignment="1">
      <alignment/>
    </xf>
    <xf numFmtId="174" fontId="4" fillId="33" borderId="15" xfId="0" applyNumberFormat="1" applyFont="1" applyFill="1" applyBorder="1" applyAlignment="1">
      <alignment horizontal="right" vertical="center" wrapText="1"/>
    </xf>
    <xf numFmtId="167" fontId="7" fillId="0" borderId="15" xfId="42" applyNumberFormat="1" applyFont="1" applyFill="1" applyBorder="1" applyAlignment="1">
      <alignment/>
    </xf>
    <xf numFmtId="167" fontId="13" fillId="0" borderId="15" xfId="42" applyNumberFormat="1" applyFont="1" applyFill="1" applyBorder="1" applyAlignment="1">
      <alignment/>
    </xf>
    <xf numFmtId="167" fontId="9" fillId="0" borderId="15" xfId="42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right" vertical="center" wrapText="1"/>
    </xf>
    <xf numFmtId="166" fontId="4" fillId="0" borderId="15" xfId="0" applyNumberFormat="1" applyFont="1" applyFill="1" applyBorder="1" applyAlignment="1">
      <alignment horizontal="right" vertical="center" wrapText="1"/>
    </xf>
    <xf numFmtId="166" fontId="7" fillId="0" borderId="15" xfId="42" applyNumberFormat="1" applyFont="1" applyFill="1" applyBorder="1" applyAlignment="1">
      <alignment/>
    </xf>
    <xf numFmtId="166" fontId="7" fillId="0" borderId="15" xfId="42" applyNumberFormat="1" applyFont="1" applyBorder="1" applyAlignment="1">
      <alignment horizontal="center"/>
    </xf>
    <xf numFmtId="167" fontId="7" fillId="0" borderId="15" xfId="42" applyNumberFormat="1" applyFont="1" applyBorder="1" applyAlignment="1">
      <alignment horizontal="center"/>
    </xf>
    <xf numFmtId="1" fontId="7" fillId="0" borderId="15" xfId="42" applyNumberFormat="1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174" fontId="4" fillId="0" borderId="22" xfId="0" applyNumberFormat="1" applyFont="1" applyBorder="1" applyAlignment="1">
      <alignment horizontal="right" vertical="center" wrapText="1"/>
    </xf>
    <xf numFmtId="177" fontId="7" fillId="0" borderId="22" xfId="42" applyNumberFormat="1" applyFont="1" applyBorder="1" applyAlignment="1">
      <alignment/>
    </xf>
    <xf numFmtId="2" fontId="7" fillId="0" borderId="22" xfId="42" applyNumberFormat="1" applyFont="1" applyBorder="1" applyAlignment="1">
      <alignment/>
    </xf>
    <xf numFmtId="2" fontId="7" fillId="0" borderId="23" xfId="42" applyNumberFormat="1" applyFont="1" applyBorder="1" applyAlignment="1">
      <alignment/>
    </xf>
    <xf numFmtId="0" fontId="19" fillId="0" borderId="22" xfId="0" applyFont="1" applyFill="1" applyBorder="1" applyAlignment="1">
      <alignment horizontal="left"/>
    </xf>
    <xf numFmtId="174" fontId="4" fillId="0" borderId="22" xfId="0" applyNumberFormat="1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left"/>
    </xf>
    <xf numFmtId="0" fontId="19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4" fontId="9" fillId="0" borderId="15" xfId="42" applyNumberFormat="1" applyFont="1" applyBorder="1" applyAlignment="1">
      <alignment horizontal="right" vertical="center" wrapText="1"/>
    </xf>
    <xf numFmtId="167" fontId="9" fillId="0" borderId="15" xfId="42" applyNumberFormat="1" applyFont="1" applyBorder="1" applyAlignment="1">
      <alignment horizontal="center" vertical="center" wrapText="1"/>
    </xf>
    <xf numFmtId="167" fontId="9" fillId="0" borderId="15" xfId="42" applyNumberFormat="1" applyFont="1" applyBorder="1" applyAlignment="1">
      <alignment/>
    </xf>
    <xf numFmtId="174" fontId="9" fillId="33" borderId="15" xfId="42" applyNumberFormat="1" applyFont="1" applyFill="1" applyBorder="1" applyAlignment="1">
      <alignment horizontal="right" vertical="center" wrapText="1"/>
    </xf>
    <xf numFmtId="174" fontId="8" fillId="0" borderId="27" xfId="0" applyNumberFormat="1" applyFont="1" applyBorder="1" applyAlignment="1">
      <alignment horizontal="right" vertical="center" wrapText="1"/>
    </xf>
    <xf numFmtId="174" fontId="8" fillId="0" borderId="28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174" fontId="21" fillId="33" borderId="11" xfId="0" applyNumberFormat="1" applyFont="1" applyFill="1" applyBorder="1" applyAlignment="1">
      <alignment horizontal="right" vertical="center" wrapText="1"/>
    </xf>
    <xf numFmtId="174" fontId="7" fillId="33" borderId="11" xfId="0" applyNumberFormat="1" applyFont="1" applyFill="1" applyBorder="1" applyAlignment="1">
      <alignment horizontal="right" vertical="center" wrapText="1"/>
    </xf>
    <xf numFmtId="174" fontId="25" fillId="33" borderId="11" xfId="0" applyNumberFormat="1" applyFont="1" applyFill="1" applyBorder="1" applyAlignment="1">
      <alignment horizontal="right" vertical="center" wrapText="1"/>
    </xf>
    <xf numFmtId="174" fontId="25" fillId="33" borderId="15" xfId="0" applyNumberFormat="1" applyFont="1" applyFill="1" applyBorder="1" applyAlignment="1">
      <alignment horizontal="right" vertical="center" wrapText="1"/>
    </xf>
    <xf numFmtId="177" fontId="31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174" fontId="7" fillId="0" borderId="12" xfId="0" applyNumberFormat="1" applyFont="1" applyBorder="1" applyAlignment="1">
      <alignment horizontal="left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21" fillId="0" borderId="12" xfId="0" applyNumberFormat="1" applyFont="1" applyBorder="1" applyAlignment="1">
      <alignment horizontal="right" vertical="center" wrapText="1"/>
    </xf>
    <xf numFmtId="174" fontId="21" fillId="33" borderId="12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right" vertical="center" wrapText="1"/>
    </xf>
    <xf numFmtId="167" fontId="9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4" fontId="8" fillId="33" borderId="11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167" fontId="9" fillId="0" borderId="15" xfId="42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7" fontId="9" fillId="0" borderId="15" xfId="42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4" fontId="11" fillId="0" borderId="0" xfId="0" applyNumberFormat="1" applyFont="1" applyAlignment="1">
      <alignment/>
    </xf>
    <xf numFmtId="0" fontId="8" fillId="0" borderId="21" xfId="0" applyFont="1" applyBorder="1" applyAlignment="1">
      <alignment horizontal="center"/>
    </xf>
    <xf numFmtId="179" fontId="3" fillId="33" borderId="15" xfId="0" applyNumberFormat="1" applyFont="1" applyFill="1" applyBorder="1" applyAlignment="1">
      <alignment horizontal="right" vertical="center" wrapText="1"/>
    </xf>
    <xf numFmtId="166" fontId="7" fillId="33" borderId="15" xfId="42" applyNumberFormat="1" applyFont="1" applyFill="1" applyBorder="1" applyAlignment="1">
      <alignment/>
    </xf>
    <xf numFmtId="167" fontId="32" fillId="33" borderId="15" xfId="42" applyNumberFormat="1" applyFont="1" applyFill="1" applyBorder="1" applyAlignment="1">
      <alignment/>
    </xf>
    <xf numFmtId="167" fontId="32" fillId="0" borderId="15" xfId="42" applyNumberFormat="1" applyFont="1" applyBorder="1" applyAlignment="1">
      <alignment/>
    </xf>
    <xf numFmtId="174" fontId="4" fillId="33" borderId="22" xfId="0" applyNumberFormat="1" applyFont="1" applyFill="1" applyBorder="1" applyAlignment="1">
      <alignment horizontal="right" vertical="center" wrapText="1"/>
    </xf>
    <xf numFmtId="166" fontId="7" fillId="33" borderId="22" xfId="42" applyNumberFormat="1" applyFont="1" applyFill="1" applyBorder="1" applyAlignment="1">
      <alignment/>
    </xf>
    <xf numFmtId="166" fontId="7" fillId="0" borderId="22" xfId="42" applyNumberFormat="1" applyFont="1" applyBorder="1" applyAlignment="1">
      <alignment horizontal="center"/>
    </xf>
    <xf numFmtId="174" fontId="4" fillId="33" borderId="23" xfId="0" applyNumberFormat="1" applyFont="1" applyFill="1" applyBorder="1" applyAlignment="1">
      <alignment horizontal="right" vertical="center" wrapText="1"/>
    </xf>
    <xf numFmtId="166" fontId="7" fillId="33" borderId="23" xfId="42" applyNumberFormat="1" applyFont="1" applyFill="1" applyBorder="1" applyAlignment="1">
      <alignment/>
    </xf>
    <xf numFmtId="174" fontId="33" fillId="33" borderId="15" xfId="0" applyNumberFormat="1" applyFont="1" applyFill="1" applyBorder="1" applyAlignment="1">
      <alignment horizontal="right" vertical="center" wrapText="1"/>
    </xf>
    <xf numFmtId="166" fontId="29" fillId="33" borderId="15" xfId="42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 horizontal="right" vertical="center" wrapText="1"/>
    </xf>
    <xf numFmtId="166" fontId="4" fillId="33" borderId="22" xfId="0" applyNumberFormat="1" applyFont="1" applyFill="1" applyBorder="1" applyAlignment="1">
      <alignment horizontal="right" vertical="center" wrapText="1"/>
    </xf>
    <xf numFmtId="166" fontId="4" fillId="33" borderId="23" xfId="0" applyNumberFormat="1" applyFont="1" applyFill="1" applyBorder="1" applyAlignment="1">
      <alignment horizontal="right" vertical="center" wrapText="1"/>
    </xf>
    <xf numFmtId="167" fontId="32" fillId="0" borderId="15" xfId="42" applyNumberFormat="1" applyFont="1" applyFill="1" applyBorder="1" applyAlignment="1">
      <alignment/>
    </xf>
    <xf numFmtId="167" fontId="7" fillId="0" borderId="15" xfId="42" applyNumberFormat="1" applyFont="1" applyFill="1" applyBorder="1" applyAlignment="1">
      <alignment horizontal="right"/>
    </xf>
    <xf numFmtId="0" fontId="15" fillId="33" borderId="15" xfId="0" applyFont="1" applyFill="1" applyBorder="1" applyAlignment="1">
      <alignment horizontal="left" vertical="center" wrapText="1"/>
    </xf>
    <xf numFmtId="167" fontId="7" fillId="0" borderId="15" xfId="42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167" fontId="26" fillId="0" borderId="21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right" wrapText="1"/>
    </xf>
    <xf numFmtId="166" fontId="18" fillId="0" borderId="17" xfId="42" applyNumberFormat="1" applyFont="1" applyBorder="1" applyAlignment="1">
      <alignment horizontal="right" wrapText="1"/>
    </xf>
    <xf numFmtId="166" fontId="18" fillId="0" borderId="17" xfId="0" applyNumberFormat="1" applyFont="1" applyBorder="1" applyAlignment="1">
      <alignment horizontal="right" wrapText="1"/>
    </xf>
    <xf numFmtId="167" fontId="26" fillId="0" borderId="13" xfId="0" applyNumberFormat="1" applyFont="1" applyBorder="1" applyAlignment="1">
      <alignment horizontal="center" wrapText="1"/>
    </xf>
    <xf numFmtId="167" fontId="15" fillId="0" borderId="11" xfId="0" applyNumberFormat="1" applyFont="1" applyBorder="1" applyAlignment="1">
      <alignment horizontal="right" wrapText="1"/>
    </xf>
    <xf numFmtId="167" fontId="15" fillId="0" borderId="11" xfId="42" applyNumberFormat="1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177" fontId="15" fillId="0" borderId="11" xfId="0" applyNumberFormat="1" applyFont="1" applyBorder="1" applyAlignment="1">
      <alignment horizontal="right" wrapText="1"/>
    </xf>
    <xf numFmtId="166" fontId="15" fillId="0" borderId="11" xfId="42" applyNumberFormat="1" applyFont="1" applyBorder="1" applyAlignment="1">
      <alignment horizontal="right" wrapText="1"/>
    </xf>
    <xf numFmtId="166" fontId="15" fillId="0" borderId="11" xfId="0" applyNumberFormat="1" applyFont="1" applyBorder="1" applyAlignment="1">
      <alignment horizontal="right" wrapText="1"/>
    </xf>
    <xf numFmtId="0" fontId="15" fillId="0" borderId="32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166" fontId="19" fillId="0" borderId="11" xfId="0" applyNumberFormat="1" applyFont="1" applyBorder="1" applyAlignment="1">
      <alignment horizontal="right"/>
    </xf>
    <xf numFmtId="0" fontId="19" fillId="0" borderId="32" xfId="0" applyFont="1" applyBorder="1" applyAlignment="1">
      <alignment/>
    </xf>
    <xf numFmtId="0" fontId="15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167" fontId="15" fillId="0" borderId="12" xfId="0" applyNumberFormat="1" applyFont="1" applyBorder="1" applyAlignment="1">
      <alignment horizontal="right" wrapText="1"/>
    </xf>
    <xf numFmtId="167" fontId="15" fillId="0" borderId="12" xfId="42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right"/>
    </xf>
    <xf numFmtId="167" fontId="15" fillId="0" borderId="16" xfId="42" applyNumberFormat="1" applyFont="1" applyBorder="1" applyAlignment="1">
      <alignment horizontal="right" wrapText="1"/>
    </xf>
    <xf numFmtId="177" fontId="15" fillId="0" borderId="12" xfId="0" applyNumberFormat="1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  <xf numFmtId="166" fontId="15" fillId="0" borderId="12" xfId="42" applyNumberFormat="1" applyFont="1" applyBorder="1" applyAlignment="1">
      <alignment horizontal="right" wrapText="1"/>
    </xf>
    <xf numFmtId="166" fontId="19" fillId="0" borderId="12" xfId="0" applyNumberFormat="1" applyFont="1" applyBorder="1" applyAlignment="1">
      <alignment horizontal="right"/>
    </xf>
    <xf numFmtId="166" fontId="15" fillId="0" borderId="12" xfId="0" applyNumberFormat="1" applyFont="1" applyBorder="1" applyAlignment="1">
      <alignment horizontal="right" wrapText="1"/>
    </xf>
    <xf numFmtId="0" fontId="19" fillId="0" borderId="33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67" fontId="15" fillId="0" borderId="10" xfId="0" applyNumberFormat="1" applyFont="1" applyBorder="1" applyAlignment="1">
      <alignment horizontal="right" wrapText="1"/>
    </xf>
    <xf numFmtId="167" fontId="15" fillId="0" borderId="10" xfId="42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177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166" fontId="15" fillId="0" borderId="10" xfId="42" applyNumberFormat="1" applyFont="1" applyBorder="1" applyAlignment="1">
      <alignment horizontal="right" wrapText="1"/>
    </xf>
    <xf numFmtId="166" fontId="19" fillId="0" borderId="10" xfId="0" applyNumberFormat="1" applyFont="1" applyBorder="1" applyAlignment="1">
      <alignment horizontal="right"/>
    </xf>
    <xf numFmtId="166" fontId="15" fillId="0" borderId="10" xfId="0" applyNumberFormat="1" applyFont="1" applyBorder="1" applyAlignment="1">
      <alignment horizontal="right" wrapText="1"/>
    </xf>
    <xf numFmtId="0" fontId="19" fillId="0" borderId="34" xfId="0" applyFont="1" applyBorder="1" applyAlignment="1">
      <alignment/>
    </xf>
    <xf numFmtId="174" fontId="8" fillId="33" borderId="15" xfId="42" applyNumberFormat="1" applyFont="1" applyFill="1" applyBorder="1" applyAlignment="1">
      <alignment/>
    </xf>
    <xf numFmtId="0" fontId="19" fillId="33" borderId="22" xfId="0" applyFont="1" applyFill="1" applyBorder="1" applyAlignment="1">
      <alignment horizontal="left" vertical="center" wrapText="1"/>
    </xf>
    <xf numFmtId="167" fontId="7" fillId="33" borderId="22" xfId="42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167" fontId="21" fillId="0" borderId="23" xfId="42" applyNumberFormat="1" applyFont="1" applyBorder="1" applyAlignment="1">
      <alignment vertical="center" wrapText="1"/>
    </xf>
    <xf numFmtId="0" fontId="78" fillId="0" borderId="0" xfId="0" applyFont="1" applyAlignment="1">
      <alignment vertical="top"/>
    </xf>
    <xf numFmtId="0" fontId="79" fillId="0" borderId="0" xfId="0" applyFont="1" applyAlignment="1">
      <alignment horizontal="right" vertical="top"/>
    </xf>
    <xf numFmtId="0" fontId="80" fillId="0" borderId="0" xfId="0" applyFont="1" applyAlignment="1">
      <alignment horizontal="center"/>
    </xf>
    <xf numFmtId="177" fontId="18" fillId="0" borderId="21" xfId="42" applyNumberFormat="1" applyFont="1" applyBorder="1" applyAlignment="1">
      <alignment horizontal="right" vertical="center" wrapText="1"/>
    </xf>
    <xf numFmtId="177" fontId="18" fillId="0" borderId="15" xfId="42" applyNumberFormat="1" applyFont="1" applyBorder="1" applyAlignment="1">
      <alignment horizontal="right" vertical="center" wrapText="1"/>
    </xf>
    <xf numFmtId="17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7" fillId="0" borderId="14" xfId="0" applyFont="1" applyBorder="1" applyAlignment="1">
      <alignment horizontal="center" vertical="center" wrapText="1"/>
    </xf>
    <xf numFmtId="167" fontId="36" fillId="0" borderId="14" xfId="42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67" fontId="37" fillId="0" borderId="14" xfId="42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6" fillId="34" borderId="14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vertical="center" wrapText="1"/>
    </xf>
    <xf numFmtId="167" fontId="22" fillId="34" borderId="14" xfId="0" applyNumberFormat="1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167" fontId="22" fillId="0" borderId="14" xfId="42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83" fillId="0" borderId="14" xfId="0" applyFont="1" applyBorder="1" applyAlignment="1">
      <alignment vertical="center"/>
    </xf>
    <xf numFmtId="167" fontId="37" fillId="0" borderId="14" xfId="0" applyNumberFormat="1" applyFont="1" applyBorder="1" applyAlignment="1">
      <alignment horizontal="center" vertical="center" wrapText="1"/>
    </xf>
    <xf numFmtId="167" fontId="37" fillId="0" borderId="14" xfId="42" applyNumberFormat="1" applyFont="1" applyBorder="1" applyAlignment="1">
      <alignment horizontal="right" vertical="center" wrapText="1"/>
    </xf>
    <xf numFmtId="167" fontId="22" fillId="0" borderId="14" xfId="42" applyNumberFormat="1" applyFont="1" applyBorder="1" applyAlignment="1">
      <alignment vertical="center" wrapText="1"/>
    </xf>
    <xf numFmtId="1" fontId="22" fillId="34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0</xdr:rowOff>
    </xdr:from>
    <xdr:to>
      <xdr:col>1</xdr:col>
      <xdr:colOff>1238250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0</xdr:rowOff>
    </xdr:from>
    <xdr:to>
      <xdr:col>1</xdr:col>
      <xdr:colOff>1314450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">
      <selection activeCell="A5" sqref="A5:E5"/>
    </sheetView>
  </sheetViews>
  <sheetFormatPr defaultColWidth="8.796875" defaultRowHeight="15"/>
  <cols>
    <col min="1" max="1" width="7.19921875" style="0" customWidth="1"/>
    <col min="2" max="2" width="49" style="0" customWidth="1"/>
    <col min="3" max="3" width="15.3984375" style="0" customWidth="1"/>
    <col min="4" max="4" width="14.09765625" style="0" customWidth="1"/>
    <col min="5" max="5" width="8.69921875" style="0" customWidth="1"/>
  </cols>
  <sheetData>
    <row r="1" spans="1:5" ht="18" customHeight="1">
      <c r="A1" s="2" t="s">
        <v>29</v>
      </c>
      <c r="B1" s="3"/>
      <c r="C1" s="3"/>
      <c r="D1" s="309" t="s">
        <v>28</v>
      </c>
      <c r="E1" s="309"/>
    </row>
    <row r="2" spans="1:5" ht="18" customHeight="1">
      <c r="A2" s="4" t="s">
        <v>30</v>
      </c>
      <c r="B2" s="3"/>
      <c r="C2" s="3"/>
      <c r="D2" s="3"/>
      <c r="E2" s="5"/>
    </row>
    <row r="3" spans="1:5" ht="18" customHeight="1">
      <c r="A3" s="3"/>
      <c r="B3" s="3"/>
      <c r="C3" s="3"/>
      <c r="D3" s="3"/>
      <c r="E3" s="3"/>
    </row>
    <row r="4" spans="1:5" ht="24.75" customHeight="1">
      <c r="A4" s="310" t="s">
        <v>244</v>
      </c>
      <c r="B4" s="310"/>
      <c r="C4" s="310"/>
      <c r="D4" s="310"/>
      <c r="E4" s="310"/>
    </row>
    <row r="5" spans="1:5" ht="18" customHeight="1">
      <c r="A5" s="311" t="s">
        <v>321</v>
      </c>
      <c r="B5" s="311"/>
      <c r="C5" s="311"/>
      <c r="D5" s="311"/>
      <c r="E5" s="311"/>
    </row>
    <row r="6" spans="1:5" ht="18" customHeight="1">
      <c r="A6" s="311" t="s">
        <v>239</v>
      </c>
      <c r="B6" s="311"/>
      <c r="C6" s="311"/>
      <c r="D6" s="311"/>
      <c r="E6" s="311"/>
    </row>
    <row r="7" spans="1:5" ht="18" customHeight="1">
      <c r="A7" s="6"/>
      <c r="B7" s="6"/>
      <c r="C7" s="6"/>
      <c r="D7" s="6"/>
      <c r="E7" s="6"/>
    </row>
    <row r="8" spans="1:5" ht="18" customHeight="1">
      <c r="A8" s="7"/>
      <c r="B8" s="8"/>
      <c r="C8" s="308" t="s">
        <v>230</v>
      </c>
      <c r="D8" s="308"/>
      <c r="E8" s="308"/>
    </row>
    <row r="9" spans="1:5" ht="26.25" customHeight="1">
      <c r="A9" s="24" t="s">
        <v>12</v>
      </c>
      <c r="B9" s="24" t="s">
        <v>35</v>
      </c>
      <c r="C9" s="24" t="s">
        <v>36</v>
      </c>
      <c r="D9" s="24" t="s">
        <v>37</v>
      </c>
      <c r="E9" s="120" t="s">
        <v>55</v>
      </c>
    </row>
    <row r="10" spans="1:5" s="15" customFormat="1" ht="19.5" customHeight="1">
      <c r="A10" s="16" t="s">
        <v>18</v>
      </c>
      <c r="B10" s="20" t="s">
        <v>39</v>
      </c>
      <c r="C10" s="36">
        <f>C11+C14+C17+C18</f>
        <v>503160.7</v>
      </c>
      <c r="D10" s="36">
        <f>D11+D14+D17+D18+D19</f>
        <v>757955.881735</v>
      </c>
      <c r="E10" s="46">
        <f>D10/C10*100</f>
        <v>150.6389274311368</v>
      </c>
    </row>
    <row r="11" spans="1:5" s="3" customFormat="1" ht="19.5" customHeight="1">
      <c r="A11" s="18" t="s">
        <v>13</v>
      </c>
      <c r="B11" s="22" t="s">
        <v>40</v>
      </c>
      <c r="C11" s="38">
        <f>SUM(C12:C13)</f>
        <v>44483.7</v>
      </c>
      <c r="D11" s="38">
        <f>SUM(D12:D13)</f>
        <v>67457.74978700001</v>
      </c>
      <c r="E11" s="43">
        <f>D11/C11*100</f>
        <v>151.64599569505236</v>
      </c>
    </row>
    <row r="12" spans="1:5" s="3" customFormat="1" ht="19.5" customHeight="1">
      <c r="A12" s="17">
        <v>1</v>
      </c>
      <c r="B12" s="21" t="s">
        <v>42</v>
      </c>
      <c r="C12" s="37">
        <v>35500</v>
      </c>
      <c r="D12" s="169">
        <f>34508.918112</f>
        <v>34508.918112</v>
      </c>
      <c r="E12" s="44">
        <f aca="true" t="shared" si="0" ref="E12:E28">D12/C12*100</f>
        <v>97.20822003380282</v>
      </c>
    </row>
    <row r="13" spans="1:5" s="3" customFormat="1" ht="19.5" customHeight="1">
      <c r="A13" s="17">
        <v>2</v>
      </c>
      <c r="B13" s="21" t="s">
        <v>43</v>
      </c>
      <c r="C13" s="37">
        <v>8983.7</v>
      </c>
      <c r="D13" s="169">
        <v>32948.831675</v>
      </c>
      <c r="E13" s="44">
        <f t="shared" si="0"/>
        <v>366.76237713859547</v>
      </c>
    </row>
    <row r="14" spans="1:5" s="3" customFormat="1" ht="19.5" customHeight="1">
      <c r="A14" s="18" t="s">
        <v>14</v>
      </c>
      <c r="B14" s="22" t="s">
        <v>44</v>
      </c>
      <c r="C14" s="38">
        <f>SUM(C15:C16)</f>
        <v>458677</v>
      </c>
      <c r="D14" s="38">
        <f>SUM(D15:D16)</f>
        <v>578123.0055</v>
      </c>
      <c r="E14" s="43">
        <f t="shared" si="0"/>
        <v>126.04142032410606</v>
      </c>
    </row>
    <row r="15" spans="1:5" s="3" customFormat="1" ht="19.5" customHeight="1">
      <c r="A15" s="17">
        <v>1</v>
      </c>
      <c r="B15" s="21" t="s">
        <v>45</v>
      </c>
      <c r="C15" s="37">
        <v>429748</v>
      </c>
      <c r="D15" s="37">
        <v>429748</v>
      </c>
      <c r="E15" s="44">
        <f t="shared" si="0"/>
        <v>100</v>
      </c>
    </row>
    <row r="16" spans="1:5" s="3" customFormat="1" ht="19.5" customHeight="1">
      <c r="A16" s="17">
        <v>2</v>
      </c>
      <c r="B16" s="21" t="s">
        <v>46</v>
      </c>
      <c r="C16" s="37">
        <v>28929</v>
      </c>
      <c r="D16" s="37">
        <v>148375.0055</v>
      </c>
      <c r="E16" s="44">
        <f t="shared" si="0"/>
        <v>512.893655155726</v>
      </c>
    </row>
    <row r="17" spans="1:5" s="3" customFormat="1" ht="19.5" customHeight="1">
      <c r="A17" s="18" t="s">
        <v>15</v>
      </c>
      <c r="B17" s="22" t="s">
        <v>47</v>
      </c>
      <c r="C17" s="38"/>
      <c r="D17" s="135">
        <v>21015.783938</v>
      </c>
      <c r="E17" s="43"/>
    </row>
    <row r="18" spans="1:5" s="3" customFormat="1" ht="19.5" customHeight="1">
      <c r="A18" s="18" t="s">
        <v>16</v>
      </c>
      <c r="B18" s="22" t="s">
        <v>48</v>
      </c>
      <c r="C18" s="38"/>
      <c r="D18" s="135">
        <v>90971.75351</v>
      </c>
      <c r="E18" s="43"/>
    </row>
    <row r="19" spans="1:5" s="3" customFormat="1" ht="19.5" customHeight="1">
      <c r="A19" s="18" t="s">
        <v>231</v>
      </c>
      <c r="B19" s="22" t="s">
        <v>246</v>
      </c>
      <c r="C19" s="38"/>
      <c r="D19" s="173">
        <v>387.589</v>
      </c>
      <c r="E19" s="43"/>
    </row>
    <row r="20" spans="1:5" s="3" customFormat="1" ht="19.5" customHeight="1">
      <c r="A20" s="18" t="s">
        <v>17</v>
      </c>
      <c r="B20" s="22" t="s">
        <v>49</v>
      </c>
      <c r="C20" s="38">
        <f>C21+C26+C27+C28+C29</f>
        <v>503160.7</v>
      </c>
      <c r="D20" s="38">
        <f>D21+D26+D27+D28+D29</f>
        <v>723891.801835</v>
      </c>
      <c r="E20" s="43">
        <f t="shared" si="0"/>
        <v>143.86890745541137</v>
      </c>
    </row>
    <row r="21" spans="1:5" s="3" customFormat="1" ht="19.5" customHeight="1">
      <c r="A21" s="18" t="s">
        <v>13</v>
      </c>
      <c r="B21" s="23" t="s">
        <v>50</v>
      </c>
      <c r="C21" s="38">
        <f>SUM(C22:C25)</f>
        <v>496606.7</v>
      </c>
      <c r="D21" s="38">
        <f>SUM(D22:D25)</f>
        <v>595920.60135</v>
      </c>
      <c r="E21" s="43">
        <f t="shared" si="0"/>
        <v>119.99850210438159</v>
      </c>
    </row>
    <row r="22" spans="1:5" s="3" customFormat="1" ht="19.5" customHeight="1">
      <c r="A22" s="17">
        <v>1</v>
      </c>
      <c r="B22" s="21" t="s">
        <v>32</v>
      </c>
      <c r="C22" s="170">
        <v>26770</v>
      </c>
      <c r="D22" s="172">
        <v>105230.573334</v>
      </c>
      <c r="E22" s="44">
        <f t="shared" si="0"/>
        <v>393.09142074710496</v>
      </c>
    </row>
    <row r="23" spans="1:5" s="3" customFormat="1" ht="19.5" customHeight="1">
      <c r="A23" s="17">
        <v>2</v>
      </c>
      <c r="B23" s="21" t="s">
        <v>33</v>
      </c>
      <c r="C23" s="170">
        <v>460536.7</v>
      </c>
      <c r="D23" s="172">
        <v>484313.067016</v>
      </c>
      <c r="E23" s="44">
        <f t="shared" si="0"/>
        <v>105.1627518536525</v>
      </c>
    </row>
    <row r="24" spans="1:5" s="3" customFormat="1" ht="19.5" customHeight="1">
      <c r="A24" s="17">
        <v>3</v>
      </c>
      <c r="B24" s="21" t="s">
        <v>51</v>
      </c>
      <c r="C24" s="171">
        <v>9300</v>
      </c>
      <c r="D24" s="172">
        <v>6376.961</v>
      </c>
      <c r="E24" s="44">
        <f t="shared" si="0"/>
        <v>68.56947311827956</v>
      </c>
    </row>
    <row r="25" spans="1:5" s="3" customFormat="1" ht="19.5" customHeight="1">
      <c r="A25" s="17">
        <v>4</v>
      </c>
      <c r="B25" s="21" t="s">
        <v>247</v>
      </c>
      <c r="C25" s="37"/>
      <c r="D25" s="37"/>
      <c r="E25" s="44"/>
    </row>
    <row r="26" spans="1:5" s="3" customFormat="1" ht="19.5" customHeight="1">
      <c r="A26" s="18" t="s">
        <v>14</v>
      </c>
      <c r="B26" s="22" t="s">
        <v>53</v>
      </c>
      <c r="C26" s="38"/>
      <c r="D26" s="274">
        <v>46564.246224</v>
      </c>
      <c r="E26" s="43"/>
    </row>
    <row r="27" spans="1:5" s="3" customFormat="1" ht="19.5" customHeight="1">
      <c r="A27" s="18" t="s">
        <v>15</v>
      </c>
      <c r="B27" s="22" t="s">
        <v>34</v>
      </c>
      <c r="C27" s="39"/>
      <c r="D27" s="38">
        <v>73308.769438</v>
      </c>
      <c r="E27" s="44"/>
    </row>
    <row r="28" spans="1:5" s="3" customFormat="1" ht="19.5" customHeight="1">
      <c r="A28" s="18" t="s">
        <v>16</v>
      </c>
      <c r="B28" s="22" t="s">
        <v>245</v>
      </c>
      <c r="C28" s="39">
        <v>6554</v>
      </c>
      <c r="D28" s="38">
        <v>6554</v>
      </c>
      <c r="E28" s="43">
        <f t="shared" si="0"/>
        <v>100</v>
      </c>
    </row>
    <row r="29" spans="1:7" s="3" customFormat="1" ht="19.5" customHeight="1">
      <c r="A29" s="40" t="s">
        <v>231</v>
      </c>
      <c r="B29" s="41" t="s">
        <v>229</v>
      </c>
      <c r="C29" s="42"/>
      <c r="D29" s="174">
        <v>1544.184823</v>
      </c>
      <c r="E29" s="45"/>
      <c r="G29" s="141"/>
    </row>
    <row r="30" spans="1:5" ht="18" customHeight="1">
      <c r="A30" s="11"/>
      <c r="B30" s="12"/>
      <c r="C30" s="13"/>
      <c r="D30" s="13"/>
      <c r="E30" s="13"/>
    </row>
    <row r="31" spans="1:5" ht="21.75" customHeight="1">
      <c r="A31" s="9"/>
      <c r="B31" s="9"/>
      <c r="C31" s="71"/>
      <c r="D31" s="71"/>
      <c r="E31" s="71"/>
    </row>
    <row r="32" spans="1:5" ht="21.75" customHeight="1">
      <c r="A32" s="9"/>
      <c r="B32" s="9"/>
      <c r="C32" s="71"/>
      <c r="D32" s="71"/>
      <c r="E32" s="71"/>
    </row>
    <row r="33" spans="1:5" ht="15" customHeight="1">
      <c r="A33" s="3"/>
      <c r="B33" s="10"/>
      <c r="C33" s="3"/>
      <c r="D33" s="10"/>
      <c r="E33" s="3"/>
    </row>
    <row r="34" spans="1:5" ht="21.75" customHeight="1">
      <c r="A34" s="3"/>
      <c r="B34" s="10"/>
      <c r="C34" s="3"/>
      <c r="D34" s="10"/>
      <c r="E34" s="3"/>
    </row>
    <row r="35" spans="1:5" ht="21.75" customHeight="1">
      <c r="A35" s="3"/>
      <c r="B35" s="2"/>
      <c r="C35" s="141"/>
      <c r="D35" s="2"/>
      <c r="E35" s="3"/>
    </row>
    <row r="36" spans="1:5" ht="21.75" customHeight="1">
      <c r="A36" s="6"/>
      <c r="B36" s="6"/>
      <c r="C36" s="7"/>
      <c r="D36" s="7"/>
      <c r="E36" s="7"/>
    </row>
    <row r="37" spans="1:5" ht="18" customHeight="1">
      <c r="A37" s="3"/>
      <c r="B37" s="3"/>
      <c r="C37" s="3"/>
      <c r="D37" s="3"/>
      <c r="E37" s="3"/>
    </row>
    <row r="38" spans="1:5" ht="18" customHeight="1">
      <c r="A38" s="3"/>
      <c r="B38" s="3"/>
      <c r="C38" s="3"/>
      <c r="D38" s="3"/>
      <c r="E38" s="3"/>
    </row>
    <row r="39" spans="1:5" ht="18" customHeight="1">
      <c r="A39" s="3"/>
      <c r="B39" s="3"/>
      <c r="C39" s="3"/>
      <c r="D39" s="3"/>
      <c r="E39" s="3"/>
    </row>
    <row r="40" spans="1:5" ht="18" customHeight="1">
      <c r="A40" s="3"/>
      <c r="B40" s="3"/>
      <c r="C40" s="3"/>
      <c r="D40" s="3"/>
      <c r="E40" s="3"/>
    </row>
    <row r="41" spans="1:5" ht="18" customHeight="1">
      <c r="A41" s="3"/>
      <c r="B41" s="3"/>
      <c r="C41" s="3"/>
      <c r="D41" s="3"/>
      <c r="E41" s="3"/>
    </row>
    <row r="42" spans="1:5" ht="18" customHeight="1">
      <c r="A42" s="3"/>
      <c r="B42" s="3"/>
      <c r="C42" s="3"/>
      <c r="D42" s="3"/>
      <c r="E42" s="3"/>
    </row>
    <row r="43" spans="1:5" ht="18" customHeight="1">
      <c r="A43" s="3"/>
      <c r="B43" s="3"/>
      <c r="C43" s="3"/>
      <c r="D43" s="3"/>
      <c r="E43" s="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5">
    <mergeCell ref="C8:E8"/>
    <mergeCell ref="D1:E1"/>
    <mergeCell ref="A4:E4"/>
    <mergeCell ref="A5:E5"/>
    <mergeCell ref="A6:E6"/>
  </mergeCells>
  <printOptions/>
  <pageMargins left="0.25" right="0.25" top="0.5" bottom="0.25" header="0.2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C9" sqref="C9:D9"/>
    </sheetView>
  </sheetViews>
  <sheetFormatPr defaultColWidth="8.796875" defaultRowHeight="15"/>
  <cols>
    <col min="1" max="1" width="7.19921875" style="0" customWidth="1"/>
    <col min="2" max="2" width="50.19921875" style="0" customWidth="1"/>
    <col min="3" max="3" width="12.09765625" style="0" customWidth="1"/>
    <col min="4" max="4" width="11.3984375" style="0" customWidth="1"/>
    <col min="5" max="5" width="11.5" style="0" customWidth="1"/>
    <col min="6" max="6" width="11.69921875" style="0" customWidth="1"/>
    <col min="7" max="7" width="8.59765625" style="0" customWidth="1"/>
  </cols>
  <sheetData>
    <row r="1" spans="1:8" ht="18" customHeight="1">
      <c r="A1" s="2" t="s">
        <v>29</v>
      </c>
      <c r="B1" s="3"/>
      <c r="C1" s="3"/>
      <c r="D1" s="3"/>
      <c r="E1" s="3"/>
      <c r="F1" s="309" t="s">
        <v>56</v>
      </c>
      <c r="G1" s="309"/>
      <c r="H1" s="309"/>
    </row>
    <row r="2" spans="1:8" ht="18" customHeight="1">
      <c r="A2" s="4" t="s">
        <v>30</v>
      </c>
      <c r="B2" s="3"/>
      <c r="C2" s="3"/>
      <c r="D2" s="3"/>
      <c r="E2" s="3"/>
      <c r="F2" s="3"/>
      <c r="G2" s="3"/>
      <c r="H2" s="5"/>
    </row>
    <row r="3" spans="1:8" ht="18" customHeight="1">
      <c r="A3" s="3"/>
      <c r="B3" s="3"/>
      <c r="C3" s="3"/>
      <c r="D3" s="3"/>
      <c r="E3" s="3"/>
      <c r="F3" s="3"/>
      <c r="G3" s="3"/>
      <c r="H3" s="3"/>
    </row>
    <row r="4" spans="1:8" ht="24.75" customHeight="1">
      <c r="A4" s="316" t="s">
        <v>248</v>
      </c>
      <c r="B4" s="316"/>
      <c r="C4" s="316"/>
      <c r="D4" s="316"/>
      <c r="E4" s="316"/>
      <c r="F4" s="316"/>
      <c r="G4" s="316"/>
      <c r="H4" s="316"/>
    </row>
    <row r="5" spans="1:8" ht="18" customHeight="1">
      <c r="A5" s="311" t="s">
        <v>321</v>
      </c>
      <c r="B5" s="311"/>
      <c r="C5" s="311"/>
      <c r="D5" s="311"/>
      <c r="E5" s="311"/>
      <c r="F5" s="311"/>
      <c r="G5" s="311"/>
      <c r="H5" s="311"/>
    </row>
    <row r="6" spans="1:8" ht="18" customHeight="1">
      <c r="A6" s="311" t="s">
        <v>31</v>
      </c>
      <c r="B6" s="311"/>
      <c r="C6" s="311"/>
      <c r="D6" s="311"/>
      <c r="E6" s="311"/>
      <c r="F6" s="311"/>
      <c r="G6" s="311"/>
      <c r="H6" s="311"/>
    </row>
    <row r="7" spans="1:8" ht="18" customHeight="1">
      <c r="A7" s="6"/>
      <c r="B7" s="6"/>
      <c r="C7" s="6"/>
      <c r="D7" s="6"/>
      <c r="E7" s="6"/>
      <c r="F7" s="6"/>
      <c r="G7" s="6"/>
      <c r="H7" s="6"/>
    </row>
    <row r="8" spans="1:8" ht="18" customHeight="1">
      <c r="A8" s="7"/>
      <c r="B8" s="8"/>
      <c r="C8" s="8"/>
      <c r="D8" s="8"/>
      <c r="E8" s="8"/>
      <c r="F8" s="314" t="s">
        <v>230</v>
      </c>
      <c r="G8" s="314"/>
      <c r="H8" s="314"/>
    </row>
    <row r="9" spans="1:8" ht="22.5" customHeight="1">
      <c r="A9" s="313" t="s">
        <v>12</v>
      </c>
      <c r="B9" s="313" t="s">
        <v>35</v>
      </c>
      <c r="C9" s="313" t="s">
        <v>36</v>
      </c>
      <c r="D9" s="313"/>
      <c r="E9" s="313" t="s">
        <v>37</v>
      </c>
      <c r="F9" s="313"/>
      <c r="G9" s="315" t="s">
        <v>59</v>
      </c>
      <c r="H9" s="315"/>
    </row>
    <row r="10" spans="1:8" ht="40.5" customHeight="1">
      <c r="A10" s="313"/>
      <c r="B10" s="313"/>
      <c r="C10" s="26" t="s">
        <v>57</v>
      </c>
      <c r="D10" s="26" t="s">
        <v>58</v>
      </c>
      <c r="E10" s="26" t="s">
        <v>57</v>
      </c>
      <c r="F10" s="26" t="s">
        <v>58</v>
      </c>
      <c r="G10" s="27" t="s">
        <v>57</v>
      </c>
      <c r="H10" s="27" t="s">
        <v>58</v>
      </c>
    </row>
    <row r="11" spans="1:8" ht="18" customHeight="1">
      <c r="A11" s="26" t="s">
        <v>18</v>
      </c>
      <c r="B11" s="26" t="s">
        <v>17</v>
      </c>
      <c r="C11" s="26">
        <v>1</v>
      </c>
      <c r="D11" s="26">
        <v>2</v>
      </c>
      <c r="E11" s="26">
        <v>3</v>
      </c>
      <c r="F11" s="26">
        <v>4</v>
      </c>
      <c r="G11" s="27">
        <v>5</v>
      </c>
      <c r="H11" s="27">
        <v>6</v>
      </c>
    </row>
    <row r="12" spans="1:8" s="3" customFormat="1" ht="18" customHeight="1">
      <c r="A12" s="87"/>
      <c r="B12" s="49" t="s">
        <v>60</v>
      </c>
      <c r="C12" s="47">
        <f>C13+C54+C55+C56</f>
        <v>50000</v>
      </c>
      <c r="D12" s="47">
        <f>D13+D54+D55+D56</f>
        <v>44483.7</v>
      </c>
      <c r="E12" s="47">
        <f>E13+E54+E55+E56</f>
        <v>189426.61438500002</v>
      </c>
      <c r="F12" s="47">
        <f>F13+F54+F55+F56</f>
        <v>179445.287235</v>
      </c>
      <c r="G12" s="46">
        <f aca="true" t="shared" si="0" ref="G12:H14">E12/C12*100</f>
        <v>378.85322877000004</v>
      </c>
      <c r="H12" s="46">
        <f t="shared" si="0"/>
        <v>403.3955971175959</v>
      </c>
    </row>
    <row r="13" spans="1:8" s="3" customFormat="1" ht="18" customHeight="1">
      <c r="A13" s="88" t="s">
        <v>18</v>
      </c>
      <c r="B13" s="50" t="s">
        <v>61</v>
      </c>
      <c r="C13" s="38">
        <f>C14+C53</f>
        <v>50000</v>
      </c>
      <c r="D13" s="38">
        <f>D14+D53</f>
        <v>44483.7</v>
      </c>
      <c r="E13" s="38">
        <f>E14+E53</f>
        <v>77439.076937</v>
      </c>
      <c r="F13" s="38">
        <f>F14+F53</f>
        <v>67457.749787</v>
      </c>
      <c r="G13" s="43">
        <f t="shared" si="0"/>
        <v>154.87815387400002</v>
      </c>
      <c r="H13" s="43">
        <f t="shared" si="0"/>
        <v>151.64599569505236</v>
      </c>
    </row>
    <row r="14" spans="1:8" s="3" customFormat="1" ht="18" customHeight="1">
      <c r="A14" s="88" t="s">
        <v>13</v>
      </c>
      <c r="B14" s="50" t="s">
        <v>62</v>
      </c>
      <c r="C14" s="38">
        <f>C15+C23+C31+C32+C39+C40+C41+C42+C43+C44+C45+C46+C47+C48+C49+C50+C51+C52</f>
        <v>50000</v>
      </c>
      <c r="D14" s="38">
        <f>D15+D23+D31+D32+D39+D40+D41+D42+D43+D44+D45+D46+D47+D48+D49+D50+D51+D52</f>
        <v>44483.7</v>
      </c>
      <c r="E14" s="38">
        <f>E15+E23+E31+E32+E39+E40+E41+E42+E43+E44+E45+E46+E47+E48+E49+E50+E51+E52</f>
        <v>77439.076937</v>
      </c>
      <c r="F14" s="38">
        <f>F15+F23+F31+F32+F39+F40+F41+F42+F43+F44+F45+F46+F47+F48+F49+F50+F51+F52</f>
        <v>67457.749787</v>
      </c>
      <c r="G14" s="46">
        <f t="shared" si="0"/>
        <v>154.87815387400002</v>
      </c>
      <c r="H14" s="46">
        <f t="shared" si="0"/>
        <v>151.64599569505236</v>
      </c>
    </row>
    <row r="15" spans="1:8" s="3" customFormat="1" ht="18" customHeight="1">
      <c r="A15" s="89">
        <v>1</v>
      </c>
      <c r="B15" s="51" t="s">
        <v>63</v>
      </c>
      <c r="C15" s="37"/>
      <c r="D15" s="37"/>
      <c r="E15" s="37"/>
      <c r="F15" s="37"/>
      <c r="G15" s="53"/>
      <c r="H15" s="53"/>
    </row>
    <row r="16" spans="1:8" s="3" customFormat="1" ht="18" customHeight="1">
      <c r="A16" s="121" t="s">
        <v>90</v>
      </c>
      <c r="B16" s="122" t="s">
        <v>83</v>
      </c>
      <c r="C16" s="37"/>
      <c r="D16" s="37"/>
      <c r="E16" s="37"/>
      <c r="F16" s="37"/>
      <c r="G16" s="53"/>
      <c r="H16" s="53"/>
    </row>
    <row r="17" spans="1:8" s="3" customFormat="1" ht="18" customHeight="1">
      <c r="A17" s="121" t="s">
        <v>91</v>
      </c>
      <c r="B17" s="122" t="s">
        <v>84</v>
      </c>
      <c r="C17" s="37"/>
      <c r="D17" s="37"/>
      <c r="E17" s="37"/>
      <c r="F17" s="37"/>
      <c r="G17" s="53"/>
      <c r="H17" s="53"/>
    </row>
    <row r="18" spans="1:8" s="3" customFormat="1" ht="18" customHeight="1">
      <c r="A18" s="121" t="s">
        <v>92</v>
      </c>
      <c r="B18" s="122" t="s">
        <v>85</v>
      </c>
      <c r="C18" s="37"/>
      <c r="D18" s="37"/>
      <c r="E18" s="37"/>
      <c r="F18" s="37"/>
      <c r="G18" s="53"/>
      <c r="H18" s="53"/>
    </row>
    <row r="19" spans="1:8" s="3" customFormat="1" ht="18" customHeight="1">
      <c r="A19" s="121" t="s">
        <v>93</v>
      </c>
      <c r="B19" s="122" t="s">
        <v>86</v>
      </c>
      <c r="C19" s="37"/>
      <c r="D19" s="37"/>
      <c r="E19" s="37"/>
      <c r="F19" s="37"/>
      <c r="G19" s="53"/>
      <c r="H19" s="53"/>
    </row>
    <row r="20" spans="1:8" s="3" customFormat="1" ht="18" customHeight="1">
      <c r="A20" s="121" t="s">
        <v>94</v>
      </c>
      <c r="B20" s="122" t="s">
        <v>87</v>
      </c>
      <c r="C20" s="37"/>
      <c r="D20" s="37"/>
      <c r="E20" s="37"/>
      <c r="F20" s="37"/>
      <c r="G20" s="53"/>
      <c r="H20" s="53"/>
    </row>
    <row r="21" spans="1:8" s="3" customFormat="1" ht="18" customHeight="1">
      <c r="A21" s="121" t="s">
        <v>95</v>
      </c>
      <c r="B21" s="122" t="s">
        <v>88</v>
      </c>
      <c r="C21" s="37"/>
      <c r="D21" s="37"/>
      <c r="E21" s="37"/>
      <c r="F21" s="37"/>
      <c r="G21" s="53"/>
      <c r="H21" s="53"/>
    </row>
    <row r="22" spans="1:8" s="3" customFormat="1" ht="18" customHeight="1">
      <c r="A22" s="121" t="s">
        <v>96</v>
      </c>
      <c r="B22" s="122" t="s">
        <v>89</v>
      </c>
      <c r="C22" s="37"/>
      <c r="D22" s="37"/>
      <c r="E22" s="37"/>
      <c r="F22" s="37"/>
      <c r="G22" s="53"/>
      <c r="H22" s="53"/>
    </row>
    <row r="23" spans="1:8" s="3" customFormat="1" ht="18" customHeight="1">
      <c r="A23" s="89">
        <v>2</v>
      </c>
      <c r="B23" s="51" t="s">
        <v>64</v>
      </c>
      <c r="C23" s="37"/>
      <c r="D23" s="37"/>
      <c r="E23" s="37">
        <f>SUM(E24:E30)</f>
        <v>14.987</v>
      </c>
      <c r="F23" s="37"/>
      <c r="G23" s="53"/>
      <c r="H23" s="53"/>
    </row>
    <row r="24" spans="1:8" s="3" customFormat="1" ht="18" customHeight="1">
      <c r="A24" s="121" t="s">
        <v>97</v>
      </c>
      <c r="B24" s="123" t="s">
        <v>83</v>
      </c>
      <c r="C24" s="54"/>
      <c r="D24" s="54"/>
      <c r="E24" s="54">
        <v>7.495</v>
      </c>
      <c r="F24" s="54"/>
      <c r="G24" s="124"/>
      <c r="H24" s="124"/>
    </row>
    <row r="25" spans="1:8" s="3" customFormat="1" ht="18" customHeight="1">
      <c r="A25" s="121" t="s">
        <v>98</v>
      </c>
      <c r="B25" s="123" t="s">
        <v>84</v>
      </c>
      <c r="C25" s="54"/>
      <c r="D25" s="54"/>
      <c r="E25" s="54"/>
      <c r="F25" s="54"/>
      <c r="G25" s="124"/>
      <c r="H25" s="124"/>
    </row>
    <row r="26" spans="1:8" s="3" customFormat="1" ht="18" customHeight="1">
      <c r="A26" s="121" t="s">
        <v>99</v>
      </c>
      <c r="B26" s="123" t="s">
        <v>85</v>
      </c>
      <c r="C26" s="54"/>
      <c r="D26" s="54"/>
      <c r="E26" s="54">
        <v>7.492</v>
      </c>
      <c r="F26" s="54"/>
      <c r="G26" s="124"/>
      <c r="H26" s="124"/>
    </row>
    <row r="27" spans="1:8" s="3" customFormat="1" ht="18" customHeight="1">
      <c r="A27" s="121" t="s">
        <v>100</v>
      </c>
      <c r="B27" s="123" t="s">
        <v>87</v>
      </c>
      <c r="C27" s="54"/>
      <c r="D27" s="54"/>
      <c r="E27" s="54"/>
      <c r="F27" s="54"/>
      <c r="G27" s="125"/>
      <c r="H27" s="125"/>
    </row>
    <row r="28" spans="1:8" s="3" customFormat="1" ht="18" customHeight="1">
      <c r="A28" s="121" t="s">
        <v>101</v>
      </c>
      <c r="B28" s="123" t="s">
        <v>88</v>
      </c>
      <c r="C28" s="54"/>
      <c r="D28" s="54"/>
      <c r="E28" s="54"/>
      <c r="F28" s="54"/>
      <c r="G28" s="125"/>
      <c r="H28" s="125"/>
    </row>
    <row r="29" spans="1:8" s="3" customFormat="1" ht="18" customHeight="1">
      <c r="A29" s="126" t="s">
        <v>102</v>
      </c>
      <c r="B29" s="127" t="s">
        <v>86</v>
      </c>
      <c r="C29" s="128"/>
      <c r="D29" s="128"/>
      <c r="E29" s="128"/>
      <c r="F29" s="128"/>
      <c r="G29" s="129"/>
      <c r="H29" s="129"/>
    </row>
    <row r="30" spans="1:8" s="3" customFormat="1" ht="18" customHeight="1">
      <c r="A30" s="130" t="s">
        <v>103</v>
      </c>
      <c r="B30" s="131" t="s">
        <v>89</v>
      </c>
      <c r="C30" s="132"/>
      <c r="D30" s="132"/>
      <c r="E30" s="132"/>
      <c r="F30" s="132"/>
      <c r="G30" s="133"/>
      <c r="H30" s="133"/>
    </row>
    <row r="31" spans="1:8" s="3" customFormat="1" ht="18" customHeight="1">
      <c r="A31" s="89">
        <v>3</v>
      </c>
      <c r="B31" s="51" t="s">
        <v>65</v>
      </c>
      <c r="C31" s="37"/>
      <c r="D31" s="37"/>
      <c r="E31" s="37"/>
      <c r="F31" s="37"/>
      <c r="G31" s="44"/>
      <c r="H31" s="44"/>
    </row>
    <row r="32" spans="1:8" s="3" customFormat="1" ht="18" customHeight="1">
      <c r="A32" s="89">
        <v>4</v>
      </c>
      <c r="B32" s="51" t="s">
        <v>66</v>
      </c>
      <c r="C32" s="37">
        <f>SUM(C33:C38)</f>
        <v>20000</v>
      </c>
      <c r="D32" s="37">
        <f>SUM(D33:D38)</f>
        <v>20000</v>
      </c>
      <c r="E32" s="48">
        <f>SUM(E33:E38)</f>
        <v>22757.61733</v>
      </c>
      <c r="F32" s="37">
        <f>SUM(F33:F38)</f>
        <v>22334.00708</v>
      </c>
      <c r="G32" s="44">
        <f>E32/C32*100</f>
        <v>113.78808665</v>
      </c>
      <c r="H32" s="44">
        <f>F32/D32*100</f>
        <v>111.6700354</v>
      </c>
    </row>
    <row r="33" spans="1:8" s="3" customFormat="1" ht="18" customHeight="1">
      <c r="A33" s="121" t="s">
        <v>104</v>
      </c>
      <c r="B33" s="123" t="s">
        <v>83</v>
      </c>
      <c r="C33" s="54">
        <v>13069</v>
      </c>
      <c r="D33" s="54">
        <v>13069</v>
      </c>
      <c r="E33" s="54">
        <v>17232.888404</v>
      </c>
      <c r="F33" s="54">
        <v>17232.888404</v>
      </c>
      <c r="G33" s="125">
        <f>E33/C33*100</f>
        <v>131.86080345856607</v>
      </c>
      <c r="H33" s="125">
        <f>F33/D33*100</f>
        <v>131.86080345856607</v>
      </c>
    </row>
    <row r="34" spans="1:8" s="3" customFormat="1" ht="18" customHeight="1">
      <c r="A34" s="121" t="s">
        <v>105</v>
      </c>
      <c r="B34" s="123" t="s">
        <v>84</v>
      </c>
      <c r="C34" s="54"/>
      <c r="D34" s="54"/>
      <c r="E34" s="136"/>
      <c r="F34" s="136"/>
      <c r="G34" s="125"/>
      <c r="H34" s="125"/>
    </row>
    <row r="35" spans="1:8" s="3" customFormat="1" ht="18" customHeight="1">
      <c r="A35" s="121" t="s">
        <v>106</v>
      </c>
      <c r="B35" s="123" t="s">
        <v>85</v>
      </c>
      <c r="C35" s="54">
        <v>1200</v>
      </c>
      <c r="D35" s="54">
        <v>1200</v>
      </c>
      <c r="E35" s="54">
        <v>1032.46032</v>
      </c>
      <c r="F35" s="54">
        <v>1032.46032</v>
      </c>
      <c r="G35" s="125">
        <f aca="true" t="shared" si="1" ref="G35:H39">E35/C35*100</f>
        <v>86.03836</v>
      </c>
      <c r="H35" s="125">
        <f t="shared" si="1"/>
        <v>86.03836</v>
      </c>
    </row>
    <row r="36" spans="1:8" s="3" customFormat="1" ht="18" customHeight="1">
      <c r="A36" s="121" t="s">
        <v>107</v>
      </c>
      <c r="B36" s="123" t="s">
        <v>87</v>
      </c>
      <c r="C36" s="54">
        <v>5131</v>
      </c>
      <c r="D36" s="54">
        <v>5131</v>
      </c>
      <c r="E36" s="54">
        <v>4492.268606</v>
      </c>
      <c r="F36" s="54">
        <f>4492.268606-423.61025</f>
        <v>4068.6583559999995</v>
      </c>
      <c r="G36" s="125">
        <f t="shared" si="1"/>
        <v>87.55152223738062</v>
      </c>
      <c r="H36" s="125">
        <f t="shared" si="1"/>
        <v>79.29562182810366</v>
      </c>
    </row>
    <row r="37" spans="1:8" s="3" customFormat="1" ht="18" customHeight="1">
      <c r="A37" s="121" t="s">
        <v>108</v>
      </c>
      <c r="B37" s="123" t="s">
        <v>88</v>
      </c>
      <c r="C37" s="54"/>
      <c r="D37" s="54"/>
      <c r="E37" s="54"/>
      <c r="F37" s="54"/>
      <c r="G37" s="125"/>
      <c r="H37" s="125"/>
    </row>
    <row r="38" spans="1:8" s="3" customFormat="1" ht="18" customHeight="1">
      <c r="A38" s="121" t="s">
        <v>109</v>
      </c>
      <c r="B38" s="123" t="s">
        <v>89</v>
      </c>
      <c r="C38" s="54">
        <v>600</v>
      </c>
      <c r="D38" s="54">
        <v>600</v>
      </c>
      <c r="E38" s="54"/>
      <c r="F38" s="54"/>
      <c r="G38" s="125">
        <f t="shared" si="1"/>
        <v>0</v>
      </c>
      <c r="H38" s="125">
        <f t="shared" si="1"/>
        <v>0</v>
      </c>
    </row>
    <row r="39" spans="1:8" s="3" customFormat="1" ht="18" customHeight="1">
      <c r="A39" s="137">
        <v>5</v>
      </c>
      <c r="B39" s="138" t="s">
        <v>67</v>
      </c>
      <c r="C39" s="139">
        <v>1200</v>
      </c>
      <c r="D39" s="139">
        <v>1200</v>
      </c>
      <c r="E39" s="139">
        <v>1421.091496</v>
      </c>
      <c r="F39" s="139">
        <v>1409.903886</v>
      </c>
      <c r="G39" s="140">
        <f t="shared" si="1"/>
        <v>118.42429133333334</v>
      </c>
      <c r="H39" s="140">
        <f t="shared" si="1"/>
        <v>117.49199050000001</v>
      </c>
    </row>
    <row r="40" spans="1:8" s="3" customFormat="1" ht="18" customHeight="1">
      <c r="A40" s="89">
        <v>6</v>
      </c>
      <c r="B40" s="51" t="s">
        <v>68</v>
      </c>
      <c r="C40" s="37"/>
      <c r="D40" s="37"/>
      <c r="E40" s="37"/>
      <c r="F40" s="37"/>
      <c r="G40" s="44"/>
      <c r="H40" s="44"/>
    </row>
    <row r="41" spans="1:8" s="3" customFormat="1" ht="18" customHeight="1">
      <c r="A41" s="89">
        <v>7</v>
      </c>
      <c r="B41" s="51" t="s">
        <v>69</v>
      </c>
      <c r="C41" s="37">
        <v>8000</v>
      </c>
      <c r="D41" s="37">
        <v>8000</v>
      </c>
      <c r="E41" s="37">
        <v>11310.166719</v>
      </c>
      <c r="F41" s="37">
        <v>11310.166719</v>
      </c>
      <c r="G41" s="44">
        <f>E41/C41*100</f>
        <v>141.37708398750001</v>
      </c>
      <c r="H41" s="44">
        <f>F41/D41*100</f>
        <v>141.37708398750001</v>
      </c>
    </row>
    <row r="42" spans="1:8" s="3" customFormat="1" ht="18" customHeight="1">
      <c r="A42" s="89">
        <v>8</v>
      </c>
      <c r="B42" s="51" t="s">
        <v>70</v>
      </c>
      <c r="C42" s="37">
        <v>3900</v>
      </c>
      <c r="D42" s="37">
        <v>3900</v>
      </c>
      <c r="E42" s="37">
        <v>16644.666148</v>
      </c>
      <c r="F42" s="37">
        <f>5389.794389+8185.234486</f>
        <v>13575.028875</v>
      </c>
      <c r="G42" s="44">
        <f>E42/C42*100</f>
        <v>426.7863114871795</v>
      </c>
      <c r="H42" s="44">
        <f>F42/D42*100</f>
        <v>348.07766346153846</v>
      </c>
    </row>
    <row r="43" spans="1:8" s="3" customFormat="1" ht="18" customHeight="1">
      <c r="A43" s="89">
        <v>9</v>
      </c>
      <c r="B43" s="51" t="s">
        <v>71</v>
      </c>
      <c r="C43" s="37"/>
      <c r="D43" s="37"/>
      <c r="E43" s="37"/>
      <c r="F43" s="37"/>
      <c r="G43" s="44"/>
      <c r="H43" s="44"/>
    </row>
    <row r="44" spans="1:8" s="3" customFormat="1" ht="18" customHeight="1">
      <c r="A44" s="89">
        <v>10</v>
      </c>
      <c r="B44" s="51" t="s">
        <v>72</v>
      </c>
      <c r="C44" s="37"/>
      <c r="D44" s="37"/>
      <c r="E44" s="37">
        <v>30.603531</v>
      </c>
      <c r="F44" s="37">
        <v>30.603531</v>
      </c>
      <c r="G44" s="44"/>
      <c r="H44" s="44"/>
    </row>
    <row r="45" spans="1:8" s="3" customFormat="1" ht="18" customHeight="1">
      <c r="A45" s="89">
        <v>11</v>
      </c>
      <c r="B45" s="51" t="s">
        <v>73</v>
      </c>
      <c r="C45" s="37">
        <v>1453</v>
      </c>
      <c r="D45" s="37">
        <v>581.2</v>
      </c>
      <c r="E45" s="37">
        <v>1992.794837</v>
      </c>
      <c r="F45" s="37">
        <f>115.370419+1363.495065</f>
        <v>1478.8654840000002</v>
      </c>
      <c r="G45" s="44">
        <f>E45/C45*100</f>
        <v>137.15036730901582</v>
      </c>
      <c r="H45" s="44">
        <f>F45/D45*100</f>
        <v>254.45035856847903</v>
      </c>
    </row>
    <row r="46" spans="1:8" s="3" customFormat="1" ht="18" customHeight="1">
      <c r="A46" s="89">
        <v>12</v>
      </c>
      <c r="B46" s="51" t="s">
        <v>74</v>
      </c>
      <c r="C46" s="37">
        <v>9130</v>
      </c>
      <c r="D46" s="37">
        <f>320+6824</f>
        <v>7144</v>
      </c>
      <c r="E46" s="37">
        <v>10815.2845</v>
      </c>
      <c r="F46" s="37">
        <f>921.7616+7431.218157</f>
        <v>8352.979757000001</v>
      </c>
      <c r="G46" s="44">
        <f>E46/C46*100</f>
        <v>118.45875684556407</v>
      </c>
      <c r="H46" s="44">
        <f>F46/D46*100</f>
        <v>116.92300891657337</v>
      </c>
    </row>
    <row r="47" spans="1:8" s="3" customFormat="1" ht="18" customHeight="1">
      <c r="A47" s="89">
        <v>13</v>
      </c>
      <c r="B47" s="51" t="s">
        <v>75</v>
      </c>
      <c r="C47" s="37"/>
      <c r="D47" s="37"/>
      <c r="E47" s="37"/>
      <c r="F47" s="38"/>
      <c r="G47" s="44"/>
      <c r="H47" s="44"/>
    </row>
    <row r="48" spans="1:8" s="3" customFormat="1" ht="18" customHeight="1">
      <c r="A48" s="89">
        <v>14</v>
      </c>
      <c r="B48" s="51" t="s">
        <v>76</v>
      </c>
      <c r="C48" s="38"/>
      <c r="D48" s="38"/>
      <c r="E48" s="38"/>
      <c r="F48" s="37"/>
      <c r="G48" s="44"/>
      <c r="H48" s="44"/>
    </row>
    <row r="49" spans="1:8" s="3" customFormat="1" ht="18" customHeight="1">
      <c r="A49" s="89">
        <v>15</v>
      </c>
      <c r="B49" s="51" t="s">
        <v>77</v>
      </c>
      <c r="C49" s="37">
        <v>2517</v>
      </c>
      <c r="D49" s="37">
        <f>2517*50%</f>
        <v>1258.5</v>
      </c>
      <c r="E49" s="37">
        <v>7176.525968</v>
      </c>
      <c r="F49" s="37">
        <f>2989.663302+3360.145273</f>
        <v>6349.808575</v>
      </c>
      <c r="G49" s="44">
        <f>E49/C49*100</f>
        <v>285.12220770758836</v>
      </c>
      <c r="H49" s="44">
        <f>F49/D49*100</f>
        <v>504.5537206992451</v>
      </c>
    </row>
    <row r="50" spans="1:8" s="3" customFormat="1" ht="18" customHeight="1">
      <c r="A50" s="89">
        <v>16</v>
      </c>
      <c r="B50" s="51" t="s">
        <v>78</v>
      </c>
      <c r="C50" s="37">
        <v>2455.2</v>
      </c>
      <c r="D50" s="37">
        <f>2455.2-1400</f>
        <v>1055.1999999999998</v>
      </c>
      <c r="E50" s="37">
        <v>5040.367408</v>
      </c>
      <c r="F50" s="37">
        <f>446.487186+1934.926694</f>
        <v>2381.41388</v>
      </c>
      <c r="G50" s="44">
        <f>E50/C50*100</f>
        <v>205.29355685891173</v>
      </c>
      <c r="H50" s="44">
        <f>F50/D50*100</f>
        <v>225.68365049279763</v>
      </c>
    </row>
    <row r="51" spans="1:8" s="3" customFormat="1" ht="18" customHeight="1">
      <c r="A51" s="89">
        <v>17</v>
      </c>
      <c r="B51" s="51" t="s">
        <v>79</v>
      </c>
      <c r="C51" s="37"/>
      <c r="D51" s="37"/>
      <c r="E51" s="37">
        <v>234.972</v>
      </c>
      <c r="F51" s="37">
        <v>234.972</v>
      </c>
      <c r="G51" s="44"/>
      <c r="H51" s="44"/>
    </row>
    <row r="52" spans="1:8" s="3" customFormat="1" ht="18" customHeight="1">
      <c r="A52" s="89">
        <v>18</v>
      </c>
      <c r="B52" s="51" t="s">
        <v>111</v>
      </c>
      <c r="C52" s="37">
        <v>1344.8</v>
      </c>
      <c r="D52" s="37">
        <v>1344.8</v>
      </c>
      <c r="E52" s="37"/>
      <c r="F52" s="37"/>
      <c r="G52" s="44">
        <f>E52/C52*100</f>
        <v>0</v>
      </c>
      <c r="H52" s="44">
        <f>F52/D52*100</f>
        <v>0</v>
      </c>
    </row>
    <row r="53" spans="1:8" s="3" customFormat="1" ht="18" customHeight="1">
      <c r="A53" s="88" t="s">
        <v>14</v>
      </c>
      <c r="B53" s="50" t="s">
        <v>80</v>
      </c>
      <c r="C53" s="37"/>
      <c r="D53" s="37"/>
      <c r="E53" s="37"/>
      <c r="F53" s="38"/>
      <c r="G53" s="44"/>
      <c r="H53" s="44"/>
    </row>
    <row r="54" spans="1:8" s="3" customFormat="1" ht="18" customHeight="1">
      <c r="A54" s="88" t="s">
        <v>17</v>
      </c>
      <c r="B54" s="50" t="s">
        <v>81</v>
      </c>
      <c r="C54" s="38"/>
      <c r="D54" s="38"/>
      <c r="E54" s="135">
        <v>21015.783938</v>
      </c>
      <c r="F54" s="135">
        <v>21015.783938</v>
      </c>
      <c r="G54" s="43"/>
      <c r="H54" s="43"/>
    </row>
    <row r="55" spans="1:8" s="3" customFormat="1" ht="34.5" customHeight="1">
      <c r="A55" s="134" t="s">
        <v>19</v>
      </c>
      <c r="B55" s="50" t="s">
        <v>82</v>
      </c>
      <c r="C55" s="38"/>
      <c r="D55" s="38"/>
      <c r="E55" s="135">
        <v>90971.75351</v>
      </c>
      <c r="F55" s="135">
        <v>90971.75351</v>
      </c>
      <c r="G55" s="43"/>
      <c r="H55" s="43"/>
    </row>
    <row r="56" spans="1:8" s="3" customFormat="1" ht="18" customHeight="1">
      <c r="A56" s="90"/>
      <c r="B56" s="52"/>
      <c r="C56" s="55"/>
      <c r="D56" s="55"/>
      <c r="E56" s="55"/>
      <c r="F56" s="55"/>
      <c r="G56" s="72"/>
      <c r="H56" s="72"/>
    </row>
    <row r="57" spans="1:8" ht="18" customHeight="1">
      <c r="A57" s="11"/>
      <c r="B57" s="12"/>
      <c r="C57" s="12"/>
      <c r="D57" s="12"/>
      <c r="E57" s="12"/>
      <c r="F57" s="13"/>
      <c r="G57" s="13"/>
      <c r="H57" s="13"/>
    </row>
    <row r="58" spans="1:8" ht="21.75" customHeight="1">
      <c r="A58" s="9"/>
      <c r="B58" s="9"/>
      <c r="C58" s="9"/>
      <c r="D58" s="9"/>
      <c r="E58" s="312"/>
      <c r="F58" s="312"/>
      <c r="G58" s="312"/>
      <c r="H58" s="312"/>
    </row>
    <row r="59" spans="1:8" ht="20.25" customHeight="1">
      <c r="A59" s="3"/>
      <c r="B59" s="10"/>
      <c r="C59" s="10"/>
      <c r="D59" s="10"/>
      <c r="E59" s="312"/>
      <c r="F59" s="312"/>
      <c r="G59" s="312"/>
      <c r="H59" s="312"/>
    </row>
    <row r="60" spans="1:8" ht="21.75" customHeight="1">
      <c r="A60" s="3"/>
      <c r="B60" s="10"/>
      <c r="C60" s="10"/>
      <c r="D60" s="10"/>
      <c r="E60" s="3"/>
      <c r="F60" s="3"/>
      <c r="G60" s="10"/>
      <c r="H60" s="3"/>
    </row>
    <row r="61" spans="1:8" ht="21.75" customHeight="1">
      <c r="A61" s="3"/>
      <c r="B61" s="2"/>
      <c r="C61" s="2"/>
      <c r="D61" s="2"/>
      <c r="E61" s="3"/>
      <c r="F61" s="3"/>
      <c r="G61" s="2"/>
      <c r="H61" s="3"/>
    </row>
    <row r="62" spans="1:8" ht="21.75" customHeight="1">
      <c r="A62" s="6"/>
      <c r="B62" s="6"/>
      <c r="C62" s="6"/>
      <c r="D62" s="6"/>
      <c r="E62" s="3"/>
      <c r="F62" s="7"/>
      <c r="G62" s="7"/>
      <c r="H62" s="7"/>
    </row>
    <row r="63" spans="1:8" ht="18" customHeight="1">
      <c r="A63" s="3"/>
      <c r="B63" s="3"/>
      <c r="C63" s="3"/>
      <c r="D63" s="3"/>
      <c r="E63" s="310"/>
      <c r="F63" s="310"/>
      <c r="G63" s="310"/>
      <c r="H63" s="310"/>
    </row>
    <row r="64" spans="1:8" ht="18" customHeight="1">
      <c r="A64" s="3"/>
      <c r="B64" s="3"/>
      <c r="C64" s="3"/>
      <c r="D64" s="3"/>
      <c r="E64" s="8"/>
      <c r="F64" s="8"/>
      <c r="G64" s="8"/>
      <c r="H64" s="8"/>
    </row>
    <row r="65" spans="1:8" ht="18" customHeight="1">
      <c r="A65" s="3"/>
      <c r="B65" s="3"/>
      <c r="C65" s="3"/>
      <c r="D65" s="3"/>
      <c r="E65" s="3"/>
      <c r="F65" s="3"/>
      <c r="G65" s="3"/>
      <c r="H65" s="3"/>
    </row>
    <row r="66" spans="1:8" ht="18" customHeight="1">
      <c r="A66" s="3"/>
      <c r="B66" s="3"/>
      <c r="C66" s="3"/>
      <c r="D66" s="3"/>
      <c r="E66" s="3"/>
      <c r="F66" s="3"/>
      <c r="G66" s="3"/>
      <c r="H66" s="3"/>
    </row>
    <row r="67" spans="1:8" ht="18" customHeight="1">
      <c r="A67" s="3"/>
      <c r="B67" s="3"/>
      <c r="C67" s="3"/>
      <c r="D67" s="3"/>
      <c r="E67" s="3"/>
      <c r="F67" s="3"/>
      <c r="G67" s="3"/>
      <c r="H67" s="3"/>
    </row>
    <row r="68" spans="1:8" ht="18" customHeight="1">
      <c r="A68" s="3"/>
      <c r="B68" s="3"/>
      <c r="C68" s="3"/>
      <c r="D68" s="3"/>
      <c r="E68" s="3"/>
      <c r="F68" s="3"/>
      <c r="G68" s="3"/>
      <c r="H68" s="3"/>
    </row>
    <row r="69" spans="1:8" ht="18" customHeight="1">
      <c r="A69" s="3"/>
      <c r="B69" s="3"/>
      <c r="C69" s="3"/>
      <c r="D69" s="3"/>
      <c r="E69" s="3"/>
      <c r="F69" s="3"/>
      <c r="G69" s="3"/>
      <c r="H69" s="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3">
    <mergeCell ref="F8:H8"/>
    <mergeCell ref="E9:F9"/>
    <mergeCell ref="G9:H9"/>
    <mergeCell ref="F1:H1"/>
    <mergeCell ref="A4:H4"/>
    <mergeCell ref="A5:H5"/>
    <mergeCell ref="A6:H6"/>
    <mergeCell ref="E58:H58"/>
    <mergeCell ref="E63:H63"/>
    <mergeCell ref="B9:B10"/>
    <mergeCell ref="C9:D9"/>
    <mergeCell ref="E59:H59"/>
    <mergeCell ref="A9:A10"/>
  </mergeCells>
  <printOptions/>
  <pageMargins left="0.5" right="0.25" top="0.5" bottom="0.5" header="0.27" footer="0.2"/>
  <pageSetup horizontalDpi="600" verticalDpi="60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" width="4.59765625" style="0" customWidth="1"/>
    <col min="2" max="2" width="39.69921875" style="0" customWidth="1"/>
    <col min="3" max="3" width="12.19921875" style="0" customWidth="1"/>
    <col min="4" max="5" width="10.09765625" style="0" customWidth="1"/>
    <col min="6" max="6" width="9.59765625" style="0" customWidth="1"/>
    <col min="7" max="8" width="10.3984375" style="0" customWidth="1"/>
    <col min="9" max="9" width="6.69921875" style="0" customWidth="1"/>
    <col min="10" max="10" width="7.3984375" style="0" customWidth="1"/>
    <col min="11" max="11" width="6.59765625" style="0" customWidth="1"/>
    <col min="13" max="13" width="18.3984375" style="0" customWidth="1"/>
  </cols>
  <sheetData>
    <row r="1" spans="1:11" ht="18" customHeight="1">
      <c r="A1" s="2" t="s">
        <v>29</v>
      </c>
      <c r="B1" s="3"/>
      <c r="C1" s="3"/>
      <c r="D1" s="3"/>
      <c r="E1" s="3"/>
      <c r="F1" s="3"/>
      <c r="G1" s="3"/>
      <c r="H1" s="309" t="s">
        <v>112</v>
      </c>
      <c r="I1" s="309"/>
      <c r="J1" s="309"/>
      <c r="K1" s="309"/>
    </row>
    <row r="2" spans="1:11" ht="18" customHeight="1">
      <c r="A2" s="4" t="s">
        <v>30</v>
      </c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.75" customHeight="1">
      <c r="A4" s="309" t="s">
        <v>250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8" customHeight="1">
      <c r="A5" s="322" t="s">
        <v>320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8" customHeight="1">
      <c r="A7" s="7"/>
      <c r="B7" s="8"/>
      <c r="C7" s="8"/>
      <c r="D7" s="8"/>
      <c r="E7" s="8"/>
      <c r="F7" s="8"/>
      <c r="G7" s="308" t="s">
        <v>232</v>
      </c>
      <c r="H7" s="308"/>
      <c r="I7" s="308"/>
      <c r="J7" s="308"/>
      <c r="K7" s="308"/>
      <c r="M7" s="1" t="e">
        <f>K13-#REF!</f>
        <v>#REF!</v>
      </c>
    </row>
    <row r="8" spans="1:11" ht="22.5" customHeight="1">
      <c r="A8" s="317" t="s">
        <v>12</v>
      </c>
      <c r="B8" s="317" t="s">
        <v>35</v>
      </c>
      <c r="C8" s="317" t="s">
        <v>36</v>
      </c>
      <c r="D8" s="319" t="s">
        <v>36</v>
      </c>
      <c r="E8" s="320"/>
      <c r="F8" s="317" t="s">
        <v>37</v>
      </c>
      <c r="G8" s="319" t="s">
        <v>37</v>
      </c>
      <c r="H8" s="320"/>
      <c r="I8" s="319" t="s">
        <v>59</v>
      </c>
      <c r="J8" s="321"/>
      <c r="K8" s="320"/>
    </row>
    <row r="9" spans="1:11" ht="29.25" customHeight="1">
      <c r="A9" s="318"/>
      <c r="B9" s="318"/>
      <c r="C9" s="318"/>
      <c r="D9" s="27" t="s">
        <v>113</v>
      </c>
      <c r="E9" s="27" t="s">
        <v>114</v>
      </c>
      <c r="F9" s="318"/>
      <c r="G9" s="27" t="s">
        <v>113</v>
      </c>
      <c r="H9" s="27" t="s">
        <v>114</v>
      </c>
      <c r="I9" s="27" t="s">
        <v>115</v>
      </c>
      <c r="J9" s="27" t="s">
        <v>128</v>
      </c>
      <c r="K9" s="27" t="s">
        <v>114</v>
      </c>
    </row>
    <row r="10" spans="1:11" ht="16.5" customHeight="1">
      <c r="A10" s="118" t="s">
        <v>18</v>
      </c>
      <c r="B10" s="118" t="s">
        <v>17</v>
      </c>
      <c r="C10" s="118">
        <v>1</v>
      </c>
      <c r="D10" s="118">
        <v>2</v>
      </c>
      <c r="E10" s="118">
        <v>3</v>
      </c>
      <c r="F10" s="118">
        <v>4</v>
      </c>
      <c r="G10" s="118">
        <v>5</v>
      </c>
      <c r="H10" s="118">
        <v>6</v>
      </c>
      <c r="I10" s="118">
        <v>7</v>
      </c>
      <c r="J10" s="118">
        <v>8</v>
      </c>
      <c r="K10" s="118">
        <v>9</v>
      </c>
    </row>
    <row r="11" spans="1:11" s="3" customFormat="1" ht="19.5" customHeight="1">
      <c r="A11" s="107"/>
      <c r="B11" s="108" t="s">
        <v>49</v>
      </c>
      <c r="C11" s="91">
        <f aca="true" t="shared" si="0" ref="C11:H11">C12+C29+C34+C35+C36</f>
        <v>503160.7</v>
      </c>
      <c r="D11" s="91">
        <f>D12+D29+D34+D35+D36</f>
        <v>416836.435</v>
      </c>
      <c r="E11" s="91">
        <f t="shared" si="0"/>
        <v>86324.265</v>
      </c>
      <c r="F11" s="91">
        <f t="shared" si="0"/>
        <v>723891.911059</v>
      </c>
      <c r="G11" s="91">
        <f t="shared" si="0"/>
        <v>501798.299756</v>
      </c>
      <c r="H11" s="91">
        <f t="shared" si="0"/>
        <v>222093.61130299998</v>
      </c>
      <c r="I11" s="92">
        <f aca="true" t="shared" si="1" ref="I11:K12">F11/C11*100</f>
        <v>143.86892916298905</v>
      </c>
      <c r="J11" s="92">
        <f t="shared" si="1"/>
        <v>120.38254279667275</v>
      </c>
      <c r="K11" s="92">
        <f t="shared" si="1"/>
        <v>257.2783113797725</v>
      </c>
    </row>
    <row r="12" spans="1:11" s="3" customFormat="1" ht="18" customHeight="1">
      <c r="A12" s="109" t="s">
        <v>18</v>
      </c>
      <c r="B12" s="110" t="s">
        <v>116</v>
      </c>
      <c r="C12" s="93">
        <f aca="true" t="shared" si="2" ref="C12:H12">C13+C22+C26+C27+C28</f>
        <v>503160.7</v>
      </c>
      <c r="D12" s="93">
        <f t="shared" si="2"/>
        <v>416836.435</v>
      </c>
      <c r="E12" s="93">
        <f t="shared" si="2"/>
        <v>86324.265</v>
      </c>
      <c r="F12" s="93">
        <f t="shared" si="2"/>
        <v>602474.710574</v>
      </c>
      <c r="G12" s="93">
        <f t="shared" si="2"/>
        <v>425184.757797</v>
      </c>
      <c r="H12" s="93">
        <f t="shared" si="2"/>
        <v>177289.952777</v>
      </c>
      <c r="I12" s="94">
        <f t="shared" si="1"/>
        <v>119.7380301311291</v>
      </c>
      <c r="J12" s="94">
        <f t="shared" si="1"/>
        <v>102.00278144999488</v>
      </c>
      <c r="K12" s="94">
        <f t="shared" si="1"/>
        <v>205.37673014302524</v>
      </c>
    </row>
    <row r="13" spans="1:13" s="3" customFormat="1" ht="18" customHeight="1">
      <c r="A13" s="109" t="s">
        <v>13</v>
      </c>
      <c r="B13" s="110" t="s">
        <v>32</v>
      </c>
      <c r="C13" s="95">
        <f aca="true" t="shared" si="3" ref="C13:H13">C14+C21</f>
        <v>26770</v>
      </c>
      <c r="D13" s="95">
        <f t="shared" si="3"/>
        <v>19946</v>
      </c>
      <c r="E13" s="95">
        <f t="shared" si="3"/>
        <v>6824</v>
      </c>
      <c r="F13" s="95">
        <f t="shared" si="3"/>
        <v>105230.57255799999</v>
      </c>
      <c r="G13" s="95">
        <f t="shared" si="3"/>
        <v>35102.068194</v>
      </c>
      <c r="H13" s="95">
        <f t="shared" si="3"/>
        <v>70128.504364</v>
      </c>
      <c r="I13" s="94">
        <f aca="true" t="shared" si="4" ref="I13:K19">F13/C13*100</f>
        <v>393.09141784833764</v>
      </c>
      <c r="J13" s="94">
        <f t="shared" si="4"/>
        <v>175.9855018249273</v>
      </c>
      <c r="K13" s="94">
        <f t="shared" si="4"/>
        <v>1027.6744484759672</v>
      </c>
      <c r="M13" s="14" t="e">
        <f>K13-#REF!</f>
        <v>#REF!</v>
      </c>
    </row>
    <row r="14" spans="1:13" s="3" customFormat="1" ht="18" customHeight="1">
      <c r="A14" s="111">
        <v>1</v>
      </c>
      <c r="B14" s="112" t="s">
        <v>117</v>
      </c>
      <c r="C14" s="96">
        <f>D14+E14</f>
        <v>26770</v>
      </c>
      <c r="D14" s="178">
        <v>19946</v>
      </c>
      <c r="E14" s="178">
        <v>6824</v>
      </c>
      <c r="F14" s="97">
        <f>G14+H14</f>
        <v>105230.57255799999</v>
      </c>
      <c r="G14" s="97">
        <f>55140.475194-20038.407</f>
        <v>35102.068194</v>
      </c>
      <c r="H14" s="178">
        <f>88970.157364-18841.653</f>
        <v>70128.504364</v>
      </c>
      <c r="I14" s="98">
        <f t="shared" si="4"/>
        <v>393.09141784833764</v>
      </c>
      <c r="J14" s="98">
        <f t="shared" si="4"/>
        <v>175.9855018249273</v>
      </c>
      <c r="K14" s="98">
        <f t="shared" si="4"/>
        <v>1027.6744484759672</v>
      </c>
      <c r="M14" s="14"/>
    </row>
    <row r="15" spans="1:13" s="3" customFormat="1" ht="18" customHeight="1">
      <c r="A15" s="111"/>
      <c r="B15" s="112" t="s">
        <v>118</v>
      </c>
      <c r="C15" s="96"/>
      <c r="D15" s="37"/>
      <c r="E15" s="37"/>
      <c r="F15" s="97"/>
      <c r="G15" s="97"/>
      <c r="H15" s="178"/>
      <c r="I15" s="94"/>
      <c r="J15" s="94"/>
      <c r="K15" s="94"/>
      <c r="M15" s="14"/>
    </row>
    <row r="16" spans="1:13" s="3" customFormat="1" ht="18" customHeight="1">
      <c r="A16" s="111" t="s">
        <v>41</v>
      </c>
      <c r="B16" s="113" t="s">
        <v>119</v>
      </c>
      <c r="C16" s="99">
        <f>D16+E16</f>
        <v>7906.099</v>
      </c>
      <c r="D16" s="180">
        <v>6637.299</v>
      </c>
      <c r="E16" s="180">
        <v>1268.8</v>
      </c>
      <c r="F16" s="100">
        <f>G16+H16</f>
        <v>17078.546886</v>
      </c>
      <c r="G16" s="100">
        <f>8753.683776-2238.938</f>
        <v>6514.745776</v>
      </c>
      <c r="H16" s="179">
        <v>10563.80111</v>
      </c>
      <c r="I16" s="102">
        <f t="shared" si="4"/>
        <v>216.01736692141094</v>
      </c>
      <c r="J16" s="102">
        <f t="shared" si="4"/>
        <v>98.15356782932334</v>
      </c>
      <c r="K16" s="102">
        <f t="shared" si="4"/>
        <v>832.582054697352</v>
      </c>
      <c r="M16" s="14"/>
    </row>
    <row r="17" spans="1:13" s="3" customFormat="1" ht="18" customHeight="1">
      <c r="A17" s="111" t="s">
        <v>41</v>
      </c>
      <c r="B17" s="113" t="s">
        <v>120</v>
      </c>
      <c r="C17" s="99"/>
      <c r="D17" s="54"/>
      <c r="E17" s="54"/>
      <c r="F17" s="100"/>
      <c r="G17" s="100"/>
      <c r="H17" s="179"/>
      <c r="I17" s="181"/>
      <c r="J17" s="181"/>
      <c r="K17" s="102"/>
      <c r="M17" s="14"/>
    </row>
    <row r="18" spans="1:13" s="3" customFormat="1" ht="18" customHeight="1">
      <c r="A18" s="111"/>
      <c r="B18" s="113" t="s">
        <v>121</v>
      </c>
      <c r="C18" s="99"/>
      <c r="D18" s="54"/>
      <c r="E18" s="54"/>
      <c r="F18" s="100"/>
      <c r="G18" s="100"/>
      <c r="H18" s="179"/>
      <c r="I18" s="181"/>
      <c r="J18" s="181"/>
      <c r="K18" s="102"/>
      <c r="M18" s="14"/>
    </row>
    <row r="19" spans="1:13" s="3" customFormat="1" ht="18" customHeight="1">
      <c r="A19" s="111" t="s">
        <v>41</v>
      </c>
      <c r="B19" s="113" t="s">
        <v>122</v>
      </c>
      <c r="C19" s="99">
        <f>D19+E19</f>
        <v>7144</v>
      </c>
      <c r="D19" s="179">
        <v>320</v>
      </c>
      <c r="E19" s="179">
        <v>6824</v>
      </c>
      <c r="F19" s="100">
        <f>G19+H19</f>
        <v>6605.247196</v>
      </c>
      <c r="G19" s="100">
        <v>311.242</v>
      </c>
      <c r="H19" s="179">
        <v>6294.005196</v>
      </c>
      <c r="I19" s="102">
        <f t="shared" si="4"/>
        <v>92.45866735722285</v>
      </c>
      <c r="J19" s="102">
        <f t="shared" si="4"/>
        <v>97.263125</v>
      </c>
      <c r="K19" s="102">
        <f t="shared" si="4"/>
        <v>92.23337039859321</v>
      </c>
      <c r="M19" s="14"/>
    </row>
    <row r="20" spans="1:13" s="3" customFormat="1" ht="18" customHeight="1">
      <c r="A20" s="111" t="s">
        <v>41</v>
      </c>
      <c r="B20" s="113" t="s">
        <v>123</v>
      </c>
      <c r="C20" s="99"/>
      <c r="D20" s="54"/>
      <c r="E20" s="54"/>
      <c r="F20" s="100"/>
      <c r="G20" s="100"/>
      <c r="H20" s="100"/>
      <c r="I20" s="102"/>
      <c r="J20" s="102"/>
      <c r="K20" s="102"/>
      <c r="M20" s="14"/>
    </row>
    <row r="21" spans="1:13" s="3" customFormat="1" ht="18" customHeight="1">
      <c r="A21" s="111">
        <v>2</v>
      </c>
      <c r="B21" s="112" t="s">
        <v>124</v>
      </c>
      <c r="C21" s="99"/>
      <c r="D21" s="37"/>
      <c r="E21" s="37"/>
      <c r="F21" s="97"/>
      <c r="G21" s="97"/>
      <c r="H21" s="97"/>
      <c r="I21" s="98"/>
      <c r="J21" s="98"/>
      <c r="K21" s="98"/>
      <c r="M21" s="14"/>
    </row>
    <row r="22" spans="1:13" s="3" customFormat="1" ht="18" customHeight="1">
      <c r="A22" s="109" t="s">
        <v>14</v>
      </c>
      <c r="B22" s="110" t="s">
        <v>33</v>
      </c>
      <c r="C22" s="93">
        <f>D22+E22</f>
        <v>460536.7</v>
      </c>
      <c r="D22" s="177">
        <v>382583.135</v>
      </c>
      <c r="E22" s="177">
        <v>77953.565</v>
      </c>
      <c r="F22" s="95">
        <f>G22+H22</f>
        <v>484313.06701600004</v>
      </c>
      <c r="G22" s="95">
        <f>379177.370603-965.306</f>
        <v>378212.064603</v>
      </c>
      <c r="H22" s="177">
        <f>113880.329413-1060.446-6718.881</f>
        <v>106101.00241300001</v>
      </c>
      <c r="I22" s="94">
        <f>F22/C22*100</f>
        <v>105.1627518536525</v>
      </c>
      <c r="J22" s="94">
        <f>G22/D22*100</f>
        <v>98.85748481908382</v>
      </c>
      <c r="K22" s="94">
        <f>H22/E22*100</f>
        <v>136.10795402750344</v>
      </c>
      <c r="M22" s="14"/>
    </row>
    <row r="23" spans="1:13" s="3" customFormat="1" ht="18" customHeight="1">
      <c r="A23" s="111"/>
      <c r="B23" s="113" t="s">
        <v>125</v>
      </c>
      <c r="C23" s="101"/>
      <c r="D23" s="178"/>
      <c r="E23" s="178"/>
      <c r="F23" s="97"/>
      <c r="G23" s="97"/>
      <c r="H23" s="178"/>
      <c r="I23" s="98"/>
      <c r="J23" s="98"/>
      <c r="K23" s="98"/>
      <c r="M23" s="14"/>
    </row>
    <row r="24" spans="1:13" s="3" customFormat="1" ht="18" customHeight="1">
      <c r="A24" s="111">
        <v>1</v>
      </c>
      <c r="B24" s="113" t="s">
        <v>119</v>
      </c>
      <c r="C24" s="100">
        <f>D24+E24</f>
        <v>242778.5</v>
      </c>
      <c r="D24" s="179">
        <v>242692</v>
      </c>
      <c r="E24" s="179">
        <v>86.5</v>
      </c>
      <c r="F24" s="100"/>
      <c r="G24" s="100">
        <f>247730-607.306</f>
        <v>247122.694</v>
      </c>
      <c r="H24" s="100">
        <f>952.02288-4.6</f>
        <v>947.42288</v>
      </c>
      <c r="I24" s="102">
        <f>F24/C24*100</f>
        <v>0</v>
      </c>
      <c r="J24" s="102">
        <f>G24/D24*100</f>
        <v>101.82564485026289</v>
      </c>
      <c r="K24" s="102"/>
      <c r="M24" s="14"/>
    </row>
    <row r="25" spans="1:13" s="3" customFormat="1" ht="18" customHeight="1">
      <c r="A25" s="111">
        <v>2</v>
      </c>
      <c r="B25" s="113" t="s">
        <v>120</v>
      </c>
      <c r="C25" s="103"/>
      <c r="D25" s="54"/>
      <c r="E25" s="54"/>
      <c r="F25" s="97"/>
      <c r="G25" s="97"/>
      <c r="H25" s="178"/>
      <c r="I25" s="98"/>
      <c r="J25" s="98"/>
      <c r="K25" s="98"/>
      <c r="M25" s="14"/>
    </row>
    <row r="26" spans="1:13" s="3" customFormat="1" ht="18" customHeight="1">
      <c r="A26" s="109" t="s">
        <v>15</v>
      </c>
      <c r="B26" s="110" t="s">
        <v>51</v>
      </c>
      <c r="C26" s="95">
        <f>D26+E26</f>
        <v>9300</v>
      </c>
      <c r="D26" s="38">
        <v>7753.3</v>
      </c>
      <c r="E26" s="38">
        <v>1546.7</v>
      </c>
      <c r="F26" s="95">
        <f>G26+H26</f>
        <v>6377.071000000001</v>
      </c>
      <c r="G26" s="177">
        <v>5316.625000000001</v>
      </c>
      <c r="H26" s="177">
        <v>1060.446</v>
      </c>
      <c r="I26" s="98">
        <f>F26/C26*100</f>
        <v>68.57065591397851</v>
      </c>
      <c r="J26" s="98">
        <f>G26/D26*100</f>
        <v>68.57241432680279</v>
      </c>
      <c r="K26" s="98">
        <f>H26/E26*100</f>
        <v>68.5618413396263</v>
      </c>
      <c r="M26" s="14"/>
    </row>
    <row r="27" spans="1:13" s="3" customFormat="1" ht="18" customHeight="1">
      <c r="A27" s="109" t="s">
        <v>16</v>
      </c>
      <c r="B27" s="110" t="s">
        <v>249</v>
      </c>
      <c r="C27" s="95">
        <f>D27+E27</f>
        <v>6554</v>
      </c>
      <c r="D27" s="177">
        <v>6554</v>
      </c>
      <c r="E27" s="38"/>
      <c r="F27" s="95">
        <f>G27+H27</f>
        <v>6554</v>
      </c>
      <c r="G27" s="95">
        <v>6554</v>
      </c>
      <c r="H27" s="177"/>
      <c r="I27" s="98">
        <f>F27/C27*100</f>
        <v>100</v>
      </c>
      <c r="J27" s="98">
        <f>G27/D27*100</f>
        <v>100</v>
      </c>
      <c r="K27" s="98"/>
      <c r="M27" s="14"/>
    </row>
    <row r="28" spans="1:13" s="3" customFormat="1" ht="18" customHeight="1">
      <c r="A28" s="116" t="s">
        <v>231</v>
      </c>
      <c r="B28" s="117" t="s">
        <v>52</v>
      </c>
      <c r="C28" s="105"/>
      <c r="D28" s="105"/>
      <c r="E28" s="105"/>
      <c r="F28" s="105">
        <f>G28+H28</f>
        <v>0</v>
      </c>
      <c r="G28" s="105"/>
      <c r="H28" s="105"/>
      <c r="I28" s="106"/>
      <c r="J28" s="106"/>
      <c r="K28" s="106"/>
      <c r="M28" s="14"/>
    </row>
    <row r="29" spans="1:13" s="3" customFormat="1" ht="18" customHeight="1">
      <c r="A29" s="114" t="s">
        <v>17</v>
      </c>
      <c r="B29" s="115" t="s">
        <v>126</v>
      </c>
      <c r="C29" s="119"/>
      <c r="D29" s="119"/>
      <c r="E29" s="119"/>
      <c r="F29" s="119">
        <f>F30+F33</f>
        <v>46564.246224</v>
      </c>
      <c r="G29" s="119">
        <f>G30+G33</f>
        <v>21003.712177</v>
      </c>
      <c r="H29" s="119">
        <f>H30+H33</f>
        <v>25560.534047</v>
      </c>
      <c r="I29" s="104"/>
      <c r="J29" s="104"/>
      <c r="K29" s="104"/>
      <c r="M29" s="14"/>
    </row>
    <row r="30" spans="1:13" s="3" customFormat="1" ht="18" customHeight="1">
      <c r="A30" s="109" t="s">
        <v>13</v>
      </c>
      <c r="B30" s="110" t="s">
        <v>53</v>
      </c>
      <c r="C30" s="95"/>
      <c r="D30" s="95"/>
      <c r="E30" s="95"/>
      <c r="F30" s="95">
        <f>SUM(F31:F32)</f>
        <v>46564.246224</v>
      </c>
      <c r="G30" s="95">
        <f>SUM(G31:G32)</f>
        <v>21003.712177</v>
      </c>
      <c r="H30" s="95">
        <f>SUM(H31:H32)</f>
        <v>25560.534047</v>
      </c>
      <c r="I30" s="98"/>
      <c r="J30" s="98"/>
      <c r="K30" s="98"/>
      <c r="M30" s="14"/>
    </row>
    <row r="31" spans="1:13" s="3" customFormat="1" ht="18" customHeight="1">
      <c r="A31" s="111">
        <v>1</v>
      </c>
      <c r="B31" s="112" t="s">
        <v>242</v>
      </c>
      <c r="C31" s="96"/>
      <c r="D31" s="97"/>
      <c r="E31" s="97"/>
      <c r="F31" s="97">
        <f>G31+H31</f>
        <v>24920.260177</v>
      </c>
      <c r="G31" s="182">
        <f>20093.406177</f>
        <v>20093.406177</v>
      </c>
      <c r="H31" s="97">
        <v>4826.854</v>
      </c>
      <c r="I31" s="98"/>
      <c r="J31" s="98"/>
      <c r="K31" s="98"/>
      <c r="M31" s="14">
        <f>G31-55</f>
        <v>20038.406177</v>
      </c>
    </row>
    <row r="32" spans="1:13" s="3" customFormat="1" ht="18" customHeight="1">
      <c r="A32" s="111">
        <v>2</v>
      </c>
      <c r="B32" s="112" t="s">
        <v>235</v>
      </c>
      <c r="C32" s="96"/>
      <c r="D32" s="97"/>
      <c r="E32" s="97"/>
      <c r="F32" s="97">
        <f>G32+H32</f>
        <v>21643.986047000002</v>
      </c>
      <c r="G32" s="97">
        <v>910.306</v>
      </c>
      <c r="H32" s="97">
        <v>20733.680047</v>
      </c>
      <c r="I32" s="98"/>
      <c r="J32" s="98"/>
      <c r="K32" s="98"/>
      <c r="M32" s="14"/>
    </row>
    <row r="33" spans="1:13" s="3" customFormat="1" ht="18" customHeight="1">
      <c r="A33" s="109" t="s">
        <v>14</v>
      </c>
      <c r="B33" s="110" t="s">
        <v>54</v>
      </c>
      <c r="C33" s="96"/>
      <c r="D33" s="97"/>
      <c r="E33" s="97"/>
      <c r="F33" s="97"/>
      <c r="G33" s="97"/>
      <c r="H33" s="97"/>
      <c r="I33" s="98"/>
      <c r="J33" s="98"/>
      <c r="K33" s="98"/>
      <c r="M33" s="14"/>
    </row>
    <row r="34" spans="1:13" s="3" customFormat="1" ht="18" customHeight="1">
      <c r="A34" s="109" t="s">
        <v>19</v>
      </c>
      <c r="B34" s="110" t="s">
        <v>129</v>
      </c>
      <c r="C34" s="93"/>
      <c r="D34" s="38"/>
      <c r="E34" s="38"/>
      <c r="F34" s="95"/>
      <c r="G34" s="38"/>
      <c r="H34" s="38"/>
      <c r="I34" s="94"/>
      <c r="J34" s="94"/>
      <c r="K34" s="94"/>
      <c r="M34" s="14"/>
    </row>
    <row r="35" spans="1:13" s="3" customFormat="1" ht="18" customHeight="1">
      <c r="A35" s="109" t="s">
        <v>110</v>
      </c>
      <c r="B35" s="110" t="s">
        <v>127</v>
      </c>
      <c r="C35" s="101"/>
      <c r="D35" s="97"/>
      <c r="E35" s="97"/>
      <c r="F35" s="95">
        <f>G35+H35</f>
        <v>73308.76943799999</v>
      </c>
      <c r="G35" s="95">
        <v>54453.233959</v>
      </c>
      <c r="H35" s="177">
        <v>18855.535479</v>
      </c>
      <c r="I35" s="98"/>
      <c r="J35" s="98"/>
      <c r="K35" s="94"/>
      <c r="M35" s="14"/>
    </row>
    <row r="36" spans="1:13" s="3" customFormat="1" ht="18" customHeight="1">
      <c r="A36" s="183" t="s">
        <v>233</v>
      </c>
      <c r="B36" s="184" t="s">
        <v>234</v>
      </c>
      <c r="C36" s="185"/>
      <c r="D36" s="186"/>
      <c r="E36" s="186"/>
      <c r="F36" s="187">
        <f>G36+H36</f>
        <v>1544.1848229999996</v>
      </c>
      <c r="G36" s="187">
        <v>1156.5958229999997</v>
      </c>
      <c r="H36" s="188">
        <v>387.589</v>
      </c>
      <c r="I36" s="189"/>
      <c r="J36" s="189"/>
      <c r="K36" s="189"/>
      <c r="M36" s="14"/>
    </row>
    <row r="37" spans="1:11" ht="18" customHeight="1">
      <c r="A37" s="11"/>
      <c r="B37" s="12"/>
      <c r="C37" s="12"/>
      <c r="D37" s="12"/>
      <c r="E37" s="12"/>
      <c r="F37" s="12"/>
      <c r="G37" s="12"/>
      <c r="H37" s="13"/>
      <c r="I37" s="13"/>
      <c r="J37" s="13"/>
      <c r="K37" s="13"/>
    </row>
    <row r="38" spans="1:11" ht="21.75" customHeight="1">
      <c r="A38" s="9"/>
      <c r="B38" s="9"/>
      <c r="C38" s="9"/>
      <c r="D38" s="9"/>
      <c r="E38" s="9"/>
      <c r="F38" s="9"/>
      <c r="G38" s="9"/>
      <c r="H38" s="312"/>
      <c r="I38" s="312"/>
      <c r="J38" s="312"/>
      <c r="K38" s="312"/>
    </row>
    <row r="39" spans="1:11" ht="21.75" customHeight="1">
      <c r="A39" s="9"/>
      <c r="B39" s="9"/>
      <c r="C39" s="9"/>
      <c r="D39" s="9"/>
      <c r="E39" s="9"/>
      <c r="F39" s="9"/>
      <c r="G39" s="9"/>
      <c r="H39" s="312"/>
      <c r="I39" s="312"/>
      <c r="J39" s="312"/>
      <c r="K39" s="312"/>
    </row>
    <row r="40" spans="1:11" ht="15" customHeight="1">
      <c r="A40" s="3"/>
      <c r="B40" s="10"/>
      <c r="C40" s="10"/>
      <c r="D40" s="10"/>
      <c r="E40" s="10"/>
      <c r="F40" s="10"/>
      <c r="G40" s="10"/>
      <c r="H40" s="3"/>
      <c r="I40" s="10"/>
      <c r="J40" s="10"/>
      <c r="K40" s="3"/>
    </row>
    <row r="41" spans="1:11" ht="21.75" customHeight="1">
      <c r="A41" s="3"/>
      <c r="B41" s="10"/>
      <c r="C41" s="10"/>
      <c r="D41" s="10"/>
      <c r="E41" s="10"/>
      <c r="F41" s="10"/>
      <c r="G41" s="10"/>
      <c r="H41" s="3"/>
      <c r="I41" s="10"/>
      <c r="J41" s="10"/>
      <c r="K41" s="3"/>
    </row>
    <row r="42" spans="1:11" ht="21.75" customHeight="1">
      <c r="A42" s="3"/>
      <c r="B42" s="2"/>
      <c r="C42" s="2"/>
      <c r="D42" s="2"/>
      <c r="E42" s="2"/>
      <c r="F42" s="2"/>
      <c r="G42" s="2"/>
      <c r="H42" s="3"/>
      <c r="I42" s="2"/>
      <c r="J42" s="2"/>
      <c r="K42" s="3"/>
    </row>
    <row r="43" spans="1:11" ht="21.75" customHeight="1">
      <c r="A43" s="6"/>
      <c r="B43" s="6"/>
      <c r="C43" s="6"/>
      <c r="D43" s="6"/>
      <c r="E43" s="6"/>
      <c r="F43" s="6"/>
      <c r="G43" s="6"/>
      <c r="H43" s="310"/>
      <c r="I43" s="310"/>
      <c r="J43" s="310"/>
      <c r="K43" s="310"/>
    </row>
    <row r="44" spans="1:11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14">
    <mergeCell ref="H1:K1"/>
    <mergeCell ref="A4:K4"/>
    <mergeCell ref="A5:K5"/>
    <mergeCell ref="G7:K7"/>
    <mergeCell ref="A8:A9"/>
    <mergeCell ref="B8:B9"/>
    <mergeCell ref="C8:C9"/>
    <mergeCell ref="D8:E8"/>
    <mergeCell ref="H39:K39"/>
    <mergeCell ref="H43:K43"/>
    <mergeCell ref="F8:F9"/>
    <mergeCell ref="G8:H8"/>
    <mergeCell ref="I8:K8"/>
    <mergeCell ref="H38:K38"/>
  </mergeCells>
  <printOptions/>
  <pageMargins left="0.5" right="0.25" top="0.75" bottom="0.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">
      <selection activeCell="A5" sqref="A5:E5"/>
    </sheetView>
  </sheetViews>
  <sheetFormatPr defaultColWidth="8.796875" defaultRowHeight="15"/>
  <cols>
    <col min="1" max="1" width="4.8984375" style="0" customWidth="1"/>
    <col min="2" max="2" width="48.09765625" style="0" customWidth="1"/>
    <col min="3" max="3" width="15.69921875" style="0" customWidth="1"/>
    <col min="4" max="4" width="15.3984375" style="0" customWidth="1"/>
    <col min="5" max="5" width="10.3984375" style="0" customWidth="1"/>
  </cols>
  <sheetData>
    <row r="1" spans="1:5" ht="18" customHeight="1">
      <c r="A1" s="2" t="s">
        <v>29</v>
      </c>
      <c r="B1" s="3"/>
      <c r="C1" s="3"/>
      <c r="D1" s="309" t="s">
        <v>130</v>
      </c>
      <c r="E1" s="309"/>
    </row>
    <row r="2" spans="1:5" ht="18" customHeight="1">
      <c r="A2" s="4" t="s">
        <v>30</v>
      </c>
      <c r="B2" s="3"/>
      <c r="C2" s="3"/>
      <c r="D2" s="3"/>
      <c r="E2" s="5"/>
    </row>
    <row r="3" spans="1:5" ht="18" customHeight="1">
      <c r="A3" s="3"/>
      <c r="B3" s="3"/>
      <c r="C3" s="3"/>
      <c r="D3" s="3"/>
      <c r="E3" s="3"/>
    </row>
    <row r="4" spans="1:5" ht="24.75" customHeight="1">
      <c r="A4" s="316" t="s">
        <v>251</v>
      </c>
      <c r="B4" s="316"/>
      <c r="C4" s="316"/>
      <c r="D4" s="316"/>
      <c r="E4" s="316"/>
    </row>
    <row r="5" spans="1:5" ht="18" customHeight="1">
      <c r="A5" s="311" t="s">
        <v>322</v>
      </c>
      <c r="B5" s="311"/>
      <c r="C5" s="311"/>
      <c r="D5" s="311"/>
      <c r="E5" s="311"/>
    </row>
    <row r="6" spans="1:5" ht="18" customHeight="1">
      <c r="A6" s="311" t="s">
        <v>239</v>
      </c>
      <c r="B6" s="311"/>
      <c r="C6" s="311"/>
      <c r="D6" s="311"/>
      <c r="E6" s="311"/>
    </row>
    <row r="7" spans="1:5" ht="18" customHeight="1">
      <c r="A7" s="6"/>
      <c r="B7" s="6"/>
      <c r="C7" s="6"/>
      <c r="D7" s="6"/>
      <c r="E7" s="6"/>
    </row>
    <row r="8" spans="1:5" ht="18" customHeight="1">
      <c r="A8" s="7"/>
      <c r="B8" s="8"/>
      <c r="C8" s="8"/>
      <c r="D8" s="308" t="s">
        <v>230</v>
      </c>
      <c r="E8" s="308"/>
    </row>
    <row r="9" spans="1:5" ht="32.25" customHeight="1">
      <c r="A9" s="24" t="s">
        <v>12</v>
      </c>
      <c r="B9" s="24" t="s">
        <v>35</v>
      </c>
      <c r="C9" s="24" t="s">
        <v>36</v>
      </c>
      <c r="D9" s="24" t="s">
        <v>37</v>
      </c>
      <c r="E9" s="25" t="s">
        <v>55</v>
      </c>
    </row>
    <row r="10" spans="1:5" s="15" customFormat="1" ht="27.75" customHeight="1">
      <c r="A10" s="196"/>
      <c r="B10" s="192" t="s">
        <v>241</v>
      </c>
      <c r="C10" s="58">
        <f>C11+C12+C43+C44+C45</f>
        <v>489199.345</v>
      </c>
      <c r="D10" s="58">
        <f>D11+D12+D43+D44+D45</f>
        <v>677324.6830959999</v>
      </c>
      <c r="E10" s="59">
        <f>D10/C10*100</f>
        <v>138.45576246550368</v>
      </c>
    </row>
    <row r="11" spans="1:5" s="3" customFormat="1" ht="19.5" customHeight="1">
      <c r="A11" s="18" t="s">
        <v>18</v>
      </c>
      <c r="B11" s="22" t="s">
        <v>131</v>
      </c>
      <c r="C11" s="38">
        <v>72362.91</v>
      </c>
      <c r="D11" s="38">
        <v>175526.75312</v>
      </c>
      <c r="E11" s="43">
        <f aca="true" t="shared" si="0" ref="E11:E41">D11/C11*100</f>
        <v>242.56453080728787</v>
      </c>
    </row>
    <row r="12" spans="1:5" s="3" customFormat="1" ht="19.5" customHeight="1">
      <c r="A12" s="18" t="s">
        <v>17</v>
      </c>
      <c r="B12" s="22" t="s">
        <v>132</v>
      </c>
      <c r="C12" s="38">
        <f>C14+C28+C40++C41+C42</f>
        <v>416836.435</v>
      </c>
      <c r="D12" s="38">
        <f>D14+D28+D40++D41+D42</f>
        <v>446188.100194</v>
      </c>
      <c r="E12" s="43">
        <f t="shared" si="0"/>
        <v>107.04153061715922</v>
      </c>
    </row>
    <row r="13" spans="1:5" s="3" customFormat="1" ht="19.5" customHeight="1">
      <c r="A13" s="17"/>
      <c r="B13" s="193" t="s">
        <v>125</v>
      </c>
      <c r="C13" s="56"/>
      <c r="D13" s="17"/>
      <c r="E13" s="43"/>
    </row>
    <row r="14" spans="1:5" s="3" customFormat="1" ht="19.5" customHeight="1">
      <c r="A14" s="18" t="s">
        <v>13</v>
      </c>
      <c r="B14" s="22" t="s">
        <v>32</v>
      </c>
      <c r="C14" s="38">
        <f>C15+C27</f>
        <v>19946</v>
      </c>
      <c r="D14" s="38">
        <f>D15+D27</f>
        <v>55140.475194</v>
      </c>
      <c r="E14" s="43">
        <f t="shared" si="0"/>
        <v>276.4487876967813</v>
      </c>
    </row>
    <row r="15" spans="1:5" s="3" customFormat="1" ht="19.5" customHeight="1">
      <c r="A15" s="17">
        <v>1</v>
      </c>
      <c r="B15" s="21" t="s">
        <v>117</v>
      </c>
      <c r="C15" s="38">
        <v>19946</v>
      </c>
      <c r="D15" s="194">
        <v>55140.475194</v>
      </c>
      <c r="E15" s="43">
        <f t="shared" si="0"/>
        <v>276.4487876967813</v>
      </c>
    </row>
    <row r="16" spans="1:5" s="3" customFormat="1" ht="19.5" customHeight="1">
      <c r="A16" s="17"/>
      <c r="B16" s="193" t="s">
        <v>125</v>
      </c>
      <c r="C16" s="37"/>
      <c r="D16" s="37"/>
      <c r="E16" s="44"/>
    </row>
    <row r="17" spans="1:5" s="3" customFormat="1" ht="19.5" customHeight="1">
      <c r="A17" s="17" t="s">
        <v>90</v>
      </c>
      <c r="B17" s="21" t="s">
        <v>119</v>
      </c>
      <c r="C17" s="190">
        <f>6637.299</f>
        <v>6637.299</v>
      </c>
      <c r="D17" s="170">
        <v>8753.683776</v>
      </c>
      <c r="E17" s="44">
        <f t="shared" si="0"/>
        <v>131.88623528938504</v>
      </c>
    </row>
    <row r="18" spans="1:5" s="3" customFormat="1" ht="19.5" customHeight="1">
      <c r="A18" s="17" t="s">
        <v>91</v>
      </c>
      <c r="B18" s="21" t="s">
        <v>120</v>
      </c>
      <c r="C18" s="37"/>
      <c r="D18" s="170">
        <v>0</v>
      </c>
      <c r="E18" s="44"/>
    </row>
    <row r="19" spans="1:5" s="3" customFormat="1" ht="19.5" customHeight="1">
      <c r="A19" s="17" t="s">
        <v>92</v>
      </c>
      <c r="B19" s="21" t="s">
        <v>133</v>
      </c>
      <c r="C19" s="37"/>
      <c r="D19" s="199">
        <v>566.851</v>
      </c>
      <c r="E19" s="44"/>
    </row>
    <row r="20" spans="1:5" s="3" customFormat="1" ht="19.5" customHeight="1">
      <c r="A20" s="17" t="s">
        <v>93</v>
      </c>
      <c r="B20" s="21" t="s">
        <v>134</v>
      </c>
      <c r="C20" s="191">
        <v>2620.017</v>
      </c>
      <c r="D20" s="199">
        <v>4941.886006</v>
      </c>
      <c r="E20" s="44">
        <f t="shared" si="0"/>
        <v>188.6203794097519</v>
      </c>
    </row>
    <row r="21" spans="1:5" s="3" customFormat="1" ht="19.5" customHeight="1">
      <c r="A21" s="17" t="s">
        <v>94</v>
      </c>
      <c r="B21" s="21" t="s">
        <v>135</v>
      </c>
      <c r="C21" s="37"/>
      <c r="D21" s="199">
        <v>450</v>
      </c>
      <c r="E21" s="44"/>
    </row>
    <row r="22" spans="1:5" s="3" customFormat="1" ht="19.5" customHeight="1">
      <c r="A22" s="17" t="s">
        <v>95</v>
      </c>
      <c r="B22" s="21" t="s">
        <v>136</v>
      </c>
      <c r="C22" s="191">
        <v>700</v>
      </c>
      <c r="D22" s="199">
        <v>700</v>
      </c>
      <c r="E22" s="44">
        <f t="shared" si="0"/>
        <v>100</v>
      </c>
    </row>
    <row r="23" spans="1:5" s="3" customFormat="1" ht="19.5" customHeight="1">
      <c r="A23" s="17" t="s">
        <v>96</v>
      </c>
      <c r="B23" s="21" t="s">
        <v>137</v>
      </c>
      <c r="C23" s="37"/>
      <c r="D23" s="199">
        <f>2480.476-189.89</f>
        <v>2290.5860000000002</v>
      </c>
      <c r="E23" s="44"/>
    </row>
    <row r="24" spans="1:5" s="3" customFormat="1" ht="19.5" customHeight="1">
      <c r="A24" s="17" t="s">
        <v>138</v>
      </c>
      <c r="B24" s="21" t="s">
        <v>139</v>
      </c>
      <c r="C24" s="191">
        <f>3133.556</f>
        <v>3133.556</v>
      </c>
      <c r="D24" s="199">
        <v>26622.662524</v>
      </c>
      <c r="E24" s="44">
        <f t="shared" si="0"/>
        <v>849.5990664918705</v>
      </c>
    </row>
    <row r="25" spans="1:5" s="3" customFormat="1" ht="19.5" customHeight="1">
      <c r="A25" s="17" t="s">
        <v>140</v>
      </c>
      <c r="B25" s="21" t="s">
        <v>141</v>
      </c>
      <c r="C25" s="197">
        <v>6655.128</v>
      </c>
      <c r="D25" s="199">
        <v>10330.252888</v>
      </c>
      <c r="E25" s="44">
        <f t="shared" si="0"/>
        <v>155.22245234051098</v>
      </c>
    </row>
    <row r="26" spans="1:5" s="3" customFormat="1" ht="19.5" customHeight="1">
      <c r="A26" s="17" t="s">
        <v>142</v>
      </c>
      <c r="B26" s="21" t="s">
        <v>143</v>
      </c>
      <c r="C26" s="37"/>
      <c r="D26" s="37"/>
      <c r="E26" s="44"/>
    </row>
    <row r="27" spans="1:5" s="3" customFormat="1" ht="19.5" customHeight="1">
      <c r="A27" s="17">
        <v>2</v>
      </c>
      <c r="B27" s="21" t="s">
        <v>124</v>
      </c>
      <c r="C27" s="37"/>
      <c r="D27" s="37"/>
      <c r="E27" s="44"/>
    </row>
    <row r="28" spans="1:5" s="3" customFormat="1" ht="19.5" customHeight="1">
      <c r="A28" s="18" t="s">
        <v>14</v>
      </c>
      <c r="B28" s="22" t="s">
        <v>33</v>
      </c>
      <c r="C28" s="38">
        <v>382583.135</v>
      </c>
      <c r="D28" s="38">
        <v>379177</v>
      </c>
      <c r="E28" s="43">
        <f t="shared" si="0"/>
        <v>99.10970069289647</v>
      </c>
    </row>
    <row r="29" spans="1:5" ht="18" customHeight="1">
      <c r="A29" s="17"/>
      <c r="B29" s="193" t="s">
        <v>125</v>
      </c>
      <c r="C29" s="37"/>
      <c r="D29" s="17"/>
      <c r="E29" s="43"/>
    </row>
    <row r="30" spans="1:5" ht="21.75" customHeight="1">
      <c r="A30" s="17">
        <v>1</v>
      </c>
      <c r="B30" s="21" t="s">
        <v>119</v>
      </c>
      <c r="C30" s="37">
        <v>242692</v>
      </c>
      <c r="D30" s="37">
        <v>248583.11599</v>
      </c>
      <c r="E30" s="44">
        <f t="shared" si="0"/>
        <v>102.42740427785012</v>
      </c>
    </row>
    <row r="31" spans="1:5" ht="20.25" customHeight="1">
      <c r="A31" s="17">
        <v>2</v>
      </c>
      <c r="B31" s="21" t="s">
        <v>120</v>
      </c>
      <c r="C31" s="37"/>
      <c r="D31" s="17"/>
      <c r="E31" s="44"/>
    </row>
    <row r="32" spans="1:5" ht="19.5" customHeight="1">
      <c r="A32" s="17">
        <v>3</v>
      </c>
      <c r="B32" s="21" t="s">
        <v>133</v>
      </c>
      <c r="C32" s="37">
        <v>38030.585</v>
      </c>
      <c r="D32" s="37">
        <v>42653.015865</v>
      </c>
      <c r="E32" s="44">
        <f t="shared" si="0"/>
        <v>112.15450896955701</v>
      </c>
    </row>
    <row r="33" spans="1:5" ht="21.75" customHeight="1">
      <c r="A33" s="17">
        <v>4</v>
      </c>
      <c r="B33" s="21" t="s">
        <v>134</v>
      </c>
      <c r="C33" s="37">
        <v>1826.727</v>
      </c>
      <c r="D33" s="37">
        <v>2581.541</v>
      </c>
      <c r="E33" s="44">
        <f t="shared" si="0"/>
        <v>141.32056952133516</v>
      </c>
    </row>
    <row r="34" spans="1:5" ht="21.75" customHeight="1">
      <c r="A34" s="17">
        <v>5</v>
      </c>
      <c r="B34" s="21" t="s">
        <v>135</v>
      </c>
      <c r="C34" s="37">
        <v>2311.681</v>
      </c>
      <c r="D34" s="37">
        <v>2427.399</v>
      </c>
      <c r="E34" s="44">
        <f t="shared" si="0"/>
        <v>105.00579448461961</v>
      </c>
    </row>
    <row r="35" spans="1:5" ht="17.25" customHeight="1">
      <c r="A35" s="17">
        <v>6</v>
      </c>
      <c r="B35" s="21" t="s">
        <v>136</v>
      </c>
      <c r="C35" s="37"/>
      <c r="D35" s="37"/>
      <c r="E35" s="44"/>
    </row>
    <row r="36" spans="1:5" ht="18" customHeight="1">
      <c r="A36" s="19">
        <v>7</v>
      </c>
      <c r="B36" s="205" t="s">
        <v>137</v>
      </c>
      <c r="C36" s="206">
        <v>4556.155</v>
      </c>
      <c r="D36" s="206">
        <v>6210.907381</v>
      </c>
      <c r="E36" s="207">
        <f t="shared" si="0"/>
        <v>136.3190536976903</v>
      </c>
    </row>
    <row r="37" spans="1:5" ht="18" customHeight="1">
      <c r="A37" s="201">
        <v>8</v>
      </c>
      <c r="B37" s="200" t="s">
        <v>139</v>
      </c>
      <c r="C37" s="202">
        <v>19776.084</v>
      </c>
      <c r="D37" s="202">
        <v>3172.3116</v>
      </c>
      <c r="E37" s="203">
        <f t="shared" si="0"/>
        <v>16.04115152423503</v>
      </c>
    </row>
    <row r="38" spans="1:5" ht="18" customHeight="1">
      <c r="A38" s="17">
        <v>9</v>
      </c>
      <c r="B38" s="21" t="s">
        <v>141</v>
      </c>
      <c r="C38" s="37">
        <v>33160.425</v>
      </c>
      <c r="D38" s="37">
        <v>41950.010063</v>
      </c>
      <c r="E38" s="44">
        <f t="shared" si="0"/>
        <v>126.50624973292712</v>
      </c>
    </row>
    <row r="39" spans="1:5" ht="18" customHeight="1">
      <c r="A39" s="17">
        <v>10</v>
      </c>
      <c r="B39" s="21" t="s">
        <v>143</v>
      </c>
      <c r="C39" s="37">
        <v>33433.255</v>
      </c>
      <c r="D39" s="37">
        <v>27591.765703999998</v>
      </c>
      <c r="E39" s="44">
        <f t="shared" si="0"/>
        <v>82.52790733059045</v>
      </c>
    </row>
    <row r="40" spans="1:5" ht="18" customHeight="1">
      <c r="A40" s="18" t="s">
        <v>15</v>
      </c>
      <c r="B40" s="22" t="s">
        <v>144</v>
      </c>
      <c r="C40" s="38">
        <v>7753.3</v>
      </c>
      <c r="D40" s="38">
        <v>5316.625000000001</v>
      </c>
      <c r="E40" s="43">
        <f t="shared" si="0"/>
        <v>68.57241432680279</v>
      </c>
    </row>
    <row r="41" spans="1:9" ht="18" customHeight="1">
      <c r="A41" s="18" t="s">
        <v>16</v>
      </c>
      <c r="B41" s="204" t="s">
        <v>249</v>
      </c>
      <c r="C41" s="38">
        <v>6554</v>
      </c>
      <c r="D41" s="38">
        <v>6554</v>
      </c>
      <c r="E41" s="43">
        <f t="shared" si="0"/>
        <v>100</v>
      </c>
      <c r="I41" s="285"/>
    </row>
    <row r="42" spans="1:9" ht="18" customHeight="1">
      <c r="A42" s="18" t="s">
        <v>231</v>
      </c>
      <c r="B42" s="22" t="s">
        <v>145</v>
      </c>
      <c r="C42" s="38"/>
      <c r="D42" s="38"/>
      <c r="E42" s="43"/>
      <c r="I42" s="285">
        <v>439657</v>
      </c>
    </row>
    <row r="43" spans="1:10" ht="18" customHeight="1">
      <c r="A43" s="18" t="s">
        <v>19</v>
      </c>
      <c r="B43" s="22" t="s">
        <v>146</v>
      </c>
      <c r="C43" s="38"/>
      <c r="D43" s="38"/>
      <c r="E43" s="43"/>
      <c r="I43" s="285">
        <f>D12-D41</f>
        <v>439634.100194</v>
      </c>
      <c r="J43" s="286">
        <f>I42-I43</f>
        <v>22.899806000001263</v>
      </c>
    </row>
    <row r="44" spans="1:5" ht="18" customHeight="1">
      <c r="A44" s="18" t="s">
        <v>110</v>
      </c>
      <c r="B44" s="22" t="s">
        <v>127</v>
      </c>
      <c r="C44" s="57"/>
      <c r="D44" s="38">
        <v>54453.233959</v>
      </c>
      <c r="E44" s="43"/>
    </row>
    <row r="45" spans="1:5" ht="18" customHeight="1">
      <c r="A45" s="198" t="s">
        <v>236</v>
      </c>
      <c r="B45" s="195" t="s">
        <v>234</v>
      </c>
      <c r="C45" s="60"/>
      <c r="D45" s="61">
        <v>1156.5958229999997</v>
      </c>
      <c r="E45" s="62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5">
    <mergeCell ref="A4:E4"/>
    <mergeCell ref="D8:E8"/>
    <mergeCell ref="D1:E1"/>
    <mergeCell ref="A5:E5"/>
    <mergeCell ref="A6:E6"/>
  </mergeCells>
  <printOptions/>
  <pageMargins left="0.25" right="0.25" top="0.75" bottom="0.5" header="0.5" footer="0.5"/>
  <pageSetup horizontalDpi="600" verticalDpi="6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H12" sqref="H12"/>
    </sheetView>
  </sheetViews>
  <sheetFormatPr defaultColWidth="8.796875" defaultRowHeight="15"/>
  <cols>
    <col min="1" max="1" width="4.8984375" style="3" customWidth="1"/>
    <col min="2" max="2" width="24.3984375" style="3" customWidth="1"/>
    <col min="3" max="3" width="9.5" style="3" customWidth="1"/>
    <col min="4" max="5" width="8.19921875" style="3" customWidth="1"/>
    <col min="6" max="6" width="7.09765625" style="3" customWidth="1"/>
    <col min="7" max="7" width="8" style="3" customWidth="1"/>
    <col min="8" max="8" width="8.5" style="3" customWidth="1"/>
    <col min="9" max="9" width="7.69921875" style="3" customWidth="1"/>
    <col min="10" max="10" width="6.3984375" style="3" customWidth="1"/>
    <col min="11" max="11" width="7" style="3" customWidth="1"/>
    <col min="12" max="12" width="7.59765625" style="3" customWidth="1"/>
    <col min="13" max="13" width="6.19921875" style="3" customWidth="1"/>
    <col min="14" max="14" width="6.59765625" style="3" customWidth="1"/>
    <col min="15" max="15" width="6.09765625" style="3" customWidth="1"/>
    <col min="16" max="16384" width="9" style="3" customWidth="1"/>
  </cols>
  <sheetData>
    <row r="1" spans="1:15" ht="15.75">
      <c r="A1" s="2" t="s">
        <v>29</v>
      </c>
      <c r="L1" s="309" t="s">
        <v>240</v>
      </c>
      <c r="M1" s="309"/>
      <c r="N1" s="309"/>
      <c r="O1" s="309"/>
    </row>
    <row r="2" spans="1:15" ht="15.75">
      <c r="A2" s="4" t="s">
        <v>30</v>
      </c>
      <c r="C2" s="28"/>
      <c r="D2" s="28"/>
      <c r="E2" s="28"/>
      <c r="F2" s="28"/>
      <c r="G2" s="28"/>
      <c r="H2" s="28"/>
      <c r="I2" s="28"/>
      <c r="J2" s="208"/>
      <c r="K2" s="28"/>
      <c r="L2" s="28"/>
      <c r="M2" s="309"/>
      <c r="N2" s="309"/>
      <c r="O2" s="309"/>
    </row>
    <row r="3" ht="15.75">
      <c r="J3" s="141"/>
    </row>
    <row r="4" spans="1:15" ht="18.75" customHeight="1">
      <c r="A4" s="316" t="s">
        <v>254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23.25" customHeight="1">
      <c r="A5" s="311" t="s">
        <v>323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ht="25.5" customHeight="1">
      <c r="A6" s="7"/>
      <c r="B6" s="8"/>
      <c r="L6" s="324" t="s">
        <v>230</v>
      </c>
      <c r="M6" s="324"/>
      <c r="N6" s="324"/>
      <c r="O6" s="324"/>
    </row>
    <row r="7" spans="1:15" ht="15.75">
      <c r="A7" s="315" t="s">
        <v>12</v>
      </c>
      <c r="B7" s="315" t="s">
        <v>150</v>
      </c>
      <c r="C7" s="315" t="s">
        <v>36</v>
      </c>
      <c r="D7" s="315"/>
      <c r="E7" s="315"/>
      <c r="F7" s="315"/>
      <c r="G7" s="315" t="s">
        <v>37</v>
      </c>
      <c r="H7" s="315"/>
      <c r="I7" s="315"/>
      <c r="J7" s="315"/>
      <c r="K7" s="315"/>
      <c r="L7" s="315"/>
      <c r="M7" s="315" t="s">
        <v>38</v>
      </c>
      <c r="N7" s="315"/>
      <c r="O7" s="315"/>
    </row>
    <row r="8" spans="1:15" ht="19.5" customHeight="1">
      <c r="A8" s="315"/>
      <c r="B8" s="315"/>
      <c r="C8" s="315" t="s">
        <v>149</v>
      </c>
      <c r="D8" s="323" t="s">
        <v>237</v>
      </c>
      <c r="E8" s="315" t="s">
        <v>33</v>
      </c>
      <c r="F8" s="315" t="s">
        <v>148</v>
      </c>
      <c r="G8" s="315" t="s">
        <v>149</v>
      </c>
      <c r="H8" s="315" t="s">
        <v>238</v>
      </c>
      <c r="I8" s="315" t="s">
        <v>33</v>
      </c>
      <c r="J8" s="315" t="s">
        <v>148</v>
      </c>
      <c r="K8" s="315"/>
      <c r="L8" s="315" t="s">
        <v>34</v>
      </c>
      <c r="M8" s="315" t="s">
        <v>147</v>
      </c>
      <c r="N8" s="315" t="s">
        <v>33</v>
      </c>
      <c r="O8" s="315" t="s">
        <v>148</v>
      </c>
    </row>
    <row r="9" spans="1:15" ht="56.25" customHeight="1">
      <c r="A9" s="315"/>
      <c r="B9" s="315"/>
      <c r="C9" s="315"/>
      <c r="D9" s="323"/>
      <c r="E9" s="315"/>
      <c r="F9" s="315"/>
      <c r="G9" s="315"/>
      <c r="H9" s="315"/>
      <c r="I9" s="315"/>
      <c r="J9" s="27" t="s">
        <v>147</v>
      </c>
      <c r="K9" s="27" t="s">
        <v>33</v>
      </c>
      <c r="L9" s="315"/>
      <c r="M9" s="315"/>
      <c r="N9" s="315"/>
      <c r="O9" s="315"/>
    </row>
    <row r="10" spans="1:15" ht="18" customHeight="1">
      <c r="A10" s="27" t="s">
        <v>18</v>
      </c>
      <c r="B10" s="27" t="s">
        <v>17</v>
      </c>
      <c r="C10" s="27">
        <v>1</v>
      </c>
      <c r="D10" s="70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</row>
    <row r="11" spans="1:15" ht="21" customHeight="1">
      <c r="A11" s="73"/>
      <c r="B11" s="209" t="s">
        <v>149</v>
      </c>
      <c r="C11" s="74">
        <f aca="true" t="shared" si="0" ref="C11:L11">C12+C115</f>
        <v>457194.31211899995</v>
      </c>
      <c r="D11" s="74">
        <f t="shared" si="0"/>
        <v>40319.589399000004</v>
      </c>
      <c r="E11" s="74">
        <f t="shared" si="0"/>
        <v>391700.9060669999</v>
      </c>
      <c r="F11" s="74">
        <f t="shared" si="0"/>
        <v>25173.816653</v>
      </c>
      <c r="G11" s="74">
        <f t="shared" si="0"/>
        <v>455598.54882600013</v>
      </c>
      <c r="H11" s="74">
        <f t="shared" si="0"/>
        <v>35764.402238</v>
      </c>
      <c r="I11" s="74">
        <f t="shared" si="0"/>
        <v>382865.57354699995</v>
      </c>
      <c r="J11" s="74">
        <f t="shared" si="0"/>
        <v>20038.406177</v>
      </c>
      <c r="K11" s="74">
        <f t="shared" si="0"/>
        <v>965.3059999999999</v>
      </c>
      <c r="L11" s="75">
        <f t="shared" si="0"/>
        <v>15964.860863999998</v>
      </c>
      <c r="M11" s="283">
        <f>H11/D11*100</f>
        <v>88.70229774434911</v>
      </c>
      <c r="N11" s="283">
        <f>I11/E11*100</f>
        <v>97.74436760723533</v>
      </c>
      <c r="O11" s="283">
        <f>(J11+K11)/F11*100</f>
        <v>83.43475471565793</v>
      </c>
    </row>
    <row r="12" spans="1:15" ht="25.5">
      <c r="A12" s="155" t="s">
        <v>13</v>
      </c>
      <c r="B12" s="156" t="s">
        <v>216</v>
      </c>
      <c r="C12" s="157">
        <f aca="true" t="shared" si="1" ref="C12:L12">SUM(C13:C114)</f>
        <v>455752.61211899994</v>
      </c>
      <c r="D12" s="157">
        <f t="shared" si="1"/>
        <v>40319.589399000004</v>
      </c>
      <c r="E12" s="157">
        <f t="shared" si="1"/>
        <v>390259.2060669999</v>
      </c>
      <c r="F12" s="157">
        <f t="shared" si="1"/>
        <v>25173.816653</v>
      </c>
      <c r="G12" s="157">
        <f t="shared" si="1"/>
        <v>454156.8488260001</v>
      </c>
      <c r="H12" s="157">
        <f t="shared" si="1"/>
        <v>35764.402238</v>
      </c>
      <c r="I12" s="157">
        <f t="shared" si="1"/>
        <v>381423.87354699994</v>
      </c>
      <c r="J12" s="157">
        <f t="shared" si="1"/>
        <v>20038.406177</v>
      </c>
      <c r="K12" s="157">
        <f t="shared" si="1"/>
        <v>965.3059999999999</v>
      </c>
      <c r="L12" s="210">
        <f t="shared" si="1"/>
        <v>15964.860863999998</v>
      </c>
      <c r="M12" s="284">
        <f>H12/D12*100</f>
        <v>88.70229774434911</v>
      </c>
      <c r="N12" s="284">
        <f>I12/E12*100</f>
        <v>97.73603482438206</v>
      </c>
      <c r="O12" s="284">
        <f>(J12+K12)/F12*100</f>
        <v>83.43475471565793</v>
      </c>
    </row>
    <row r="13" spans="1:15" ht="15.75">
      <c r="A13" s="30">
        <v>1</v>
      </c>
      <c r="B13" s="31" t="s">
        <v>217</v>
      </c>
      <c r="C13" s="63">
        <f>D13+E13+F13</f>
        <v>2589.655</v>
      </c>
      <c r="D13" s="63"/>
      <c r="E13" s="35">
        <v>2589.655</v>
      </c>
      <c r="F13" s="63"/>
      <c r="G13" s="35">
        <f>H13+I13+J13+K13+L13</f>
        <v>2589.655</v>
      </c>
      <c r="H13" s="63"/>
      <c r="I13" s="145">
        <v>2589.655</v>
      </c>
      <c r="J13" s="35"/>
      <c r="K13" s="35"/>
      <c r="L13" s="144"/>
      <c r="M13" s="65"/>
      <c r="N13" s="153">
        <f>I13/E13*100</f>
        <v>100</v>
      </c>
      <c r="O13" s="67"/>
    </row>
    <row r="14" spans="1:15" ht="18.75">
      <c r="A14" s="30">
        <v>2</v>
      </c>
      <c r="B14" s="31" t="s">
        <v>218</v>
      </c>
      <c r="C14" s="63">
        <f aca="true" t="shared" si="2" ref="C14:C77">D14+E14+F14</f>
        <v>12796.634097999999</v>
      </c>
      <c r="D14" s="63">
        <v>4987.336098</v>
      </c>
      <c r="E14" s="63">
        <v>7809.298</v>
      </c>
      <c r="F14" s="63"/>
      <c r="G14" s="35">
        <f aca="true" t="shared" si="3" ref="G14:G77">H14+I14+J14+K14+L14</f>
        <v>12771.634098</v>
      </c>
      <c r="H14" s="35">
        <v>4853.7938</v>
      </c>
      <c r="I14" s="145">
        <f>E14-6.63-25</f>
        <v>7777.668</v>
      </c>
      <c r="J14" s="64"/>
      <c r="K14" s="63"/>
      <c r="L14" s="211">
        <f>40+5.758+84.285298+6.63+3.499</f>
        <v>140.17229799999998</v>
      </c>
      <c r="M14" s="65">
        <f>H14/D14*100</f>
        <v>97.32237219678153</v>
      </c>
      <c r="N14" s="153">
        <f aca="true" t="shared" si="4" ref="N14:N77">I14/E14*100</f>
        <v>99.59496999602268</v>
      </c>
      <c r="O14" s="67"/>
    </row>
    <row r="15" spans="1:15" ht="15.75">
      <c r="A15" s="30">
        <v>3</v>
      </c>
      <c r="B15" s="31" t="s">
        <v>302</v>
      </c>
      <c r="C15" s="63">
        <f t="shared" si="2"/>
        <v>3897.2471000000005</v>
      </c>
      <c r="D15" s="63"/>
      <c r="E15" s="144">
        <v>3118.4491000000003</v>
      </c>
      <c r="F15" s="144">
        <v>778.798</v>
      </c>
      <c r="G15" s="35">
        <f t="shared" si="3"/>
        <v>3890.5781</v>
      </c>
      <c r="H15" s="35"/>
      <c r="I15" s="145">
        <v>3112.6291</v>
      </c>
      <c r="J15" s="144"/>
      <c r="K15" s="144">
        <v>777.949</v>
      </c>
      <c r="L15" s="211"/>
      <c r="M15" s="65"/>
      <c r="N15" s="152">
        <f t="shared" si="4"/>
        <v>99.81336876718622</v>
      </c>
      <c r="O15" s="65">
        <f>(J15+K15)/F15*100</f>
        <v>99.8909858525574</v>
      </c>
    </row>
    <row r="16" spans="1:15" ht="18.75">
      <c r="A16" s="30">
        <v>4</v>
      </c>
      <c r="B16" s="31" t="s">
        <v>316</v>
      </c>
      <c r="C16" s="63">
        <f t="shared" si="2"/>
        <v>578.828</v>
      </c>
      <c r="D16" s="63"/>
      <c r="E16" s="144">
        <v>578.828</v>
      </c>
      <c r="F16" s="63"/>
      <c r="G16" s="35">
        <f t="shared" si="3"/>
        <v>578.828</v>
      </c>
      <c r="H16" s="35"/>
      <c r="I16" s="145">
        <v>551.293</v>
      </c>
      <c r="J16" s="64"/>
      <c r="K16" s="63"/>
      <c r="L16" s="211">
        <v>27.535</v>
      </c>
      <c r="M16" s="65"/>
      <c r="N16" s="153">
        <f t="shared" si="4"/>
        <v>95.24297373312972</v>
      </c>
      <c r="O16" s="65"/>
    </row>
    <row r="17" spans="1:15" ht="18.75">
      <c r="A17" s="30">
        <v>5</v>
      </c>
      <c r="B17" s="31" t="s">
        <v>219</v>
      </c>
      <c r="C17" s="63">
        <f t="shared" si="2"/>
        <v>3247</v>
      </c>
      <c r="D17" s="63"/>
      <c r="E17" s="212">
        <v>3247</v>
      </c>
      <c r="F17" s="63"/>
      <c r="G17" s="35">
        <f t="shared" si="3"/>
        <v>3247</v>
      </c>
      <c r="H17" s="35"/>
      <c r="I17" s="212">
        <v>3247</v>
      </c>
      <c r="J17" s="64"/>
      <c r="K17" s="66"/>
      <c r="L17" s="211"/>
      <c r="M17" s="65"/>
      <c r="N17" s="153">
        <f t="shared" si="4"/>
        <v>100</v>
      </c>
      <c r="O17" s="65"/>
    </row>
    <row r="18" spans="1:15" ht="18.75">
      <c r="A18" s="30">
        <v>6</v>
      </c>
      <c r="B18" s="31" t="s">
        <v>220</v>
      </c>
      <c r="C18" s="63">
        <f t="shared" si="2"/>
        <v>36145.916</v>
      </c>
      <c r="D18" s="63"/>
      <c r="E18" s="63">
        <v>35956.714</v>
      </c>
      <c r="F18" s="63">
        <v>189.202</v>
      </c>
      <c r="G18" s="35">
        <f t="shared" si="3"/>
        <v>35898.47535</v>
      </c>
      <c r="H18" s="35"/>
      <c r="I18" s="145">
        <v>28782.357</v>
      </c>
      <c r="J18" s="64">
        <v>0</v>
      </c>
      <c r="K18" s="63">
        <v>187.357</v>
      </c>
      <c r="L18" s="211">
        <v>6928.76135</v>
      </c>
      <c r="M18" s="65"/>
      <c r="N18" s="153">
        <f t="shared" si="4"/>
        <v>80.04723957812163</v>
      </c>
      <c r="O18" s="65">
        <f>(J18+K18)/F18*100</f>
        <v>99.02485174575321</v>
      </c>
    </row>
    <row r="19" spans="1:15" ht="18.75">
      <c r="A19" s="30">
        <v>7</v>
      </c>
      <c r="B19" s="31" t="s">
        <v>317</v>
      </c>
      <c r="C19" s="63">
        <f t="shared" si="2"/>
        <v>2540.295</v>
      </c>
      <c r="D19" s="63"/>
      <c r="E19" s="63">
        <f>2286.924+253.371</f>
        <v>2540.295</v>
      </c>
      <c r="F19" s="63"/>
      <c r="G19" s="35">
        <f t="shared" si="3"/>
        <v>2360.645</v>
      </c>
      <c r="H19" s="35"/>
      <c r="I19" s="145">
        <f>2107.274+253.371</f>
        <v>2360.645</v>
      </c>
      <c r="J19" s="64"/>
      <c r="K19" s="63"/>
      <c r="L19" s="144"/>
      <c r="M19" s="65"/>
      <c r="N19" s="153">
        <f t="shared" si="4"/>
        <v>92.92798671020492</v>
      </c>
      <c r="O19" s="65"/>
    </row>
    <row r="20" spans="1:15" ht="18.75">
      <c r="A20" s="30">
        <v>8</v>
      </c>
      <c r="B20" s="31" t="s">
        <v>221</v>
      </c>
      <c r="C20" s="63">
        <f t="shared" si="2"/>
        <v>2858.8</v>
      </c>
      <c r="D20" s="63">
        <f>1154+95.8</f>
        <v>1249.8</v>
      </c>
      <c r="E20" s="213">
        <v>1609</v>
      </c>
      <c r="F20" s="63"/>
      <c r="G20" s="35">
        <f t="shared" si="3"/>
        <v>2859.0000000000005</v>
      </c>
      <c r="H20" s="35">
        <v>1154.18</v>
      </c>
      <c r="I20" s="145">
        <v>1429</v>
      </c>
      <c r="J20" s="64"/>
      <c r="K20" s="63"/>
      <c r="L20" s="211">
        <f>180+95.82</f>
        <v>275.82</v>
      </c>
      <c r="M20" s="65">
        <f>H20/D20*100</f>
        <v>92.34917586813891</v>
      </c>
      <c r="N20" s="152">
        <f t="shared" si="4"/>
        <v>88.81292728402734</v>
      </c>
      <c r="O20" s="65"/>
    </row>
    <row r="21" spans="1:15" ht="18.75">
      <c r="A21" s="30">
        <v>9</v>
      </c>
      <c r="B21" s="31" t="s">
        <v>243</v>
      </c>
      <c r="C21" s="63">
        <f t="shared" si="2"/>
        <v>14958.689</v>
      </c>
      <c r="D21" s="63">
        <v>3500.232</v>
      </c>
      <c r="E21" s="145">
        <v>11458.457</v>
      </c>
      <c r="F21" s="63"/>
      <c r="G21" s="35">
        <f t="shared" si="3"/>
        <v>14949.631000000001</v>
      </c>
      <c r="H21" s="35">
        <v>3462.125</v>
      </c>
      <c r="I21" s="145">
        <v>11458.457</v>
      </c>
      <c r="J21" s="64"/>
      <c r="K21" s="63"/>
      <c r="L21" s="211">
        <v>29.049</v>
      </c>
      <c r="M21" s="65">
        <f>H21/D21*100</f>
        <v>98.91130073663689</v>
      </c>
      <c r="N21" s="153">
        <f t="shared" si="4"/>
        <v>100</v>
      </c>
      <c r="O21" s="65"/>
    </row>
    <row r="22" spans="1:15" ht="18.75">
      <c r="A22" s="30">
        <v>10</v>
      </c>
      <c r="B22" s="31" t="s">
        <v>318</v>
      </c>
      <c r="C22" s="63">
        <f t="shared" si="2"/>
        <v>4355.045</v>
      </c>
      <c r="D22" s="63"/>
      <c r="E22" s="213">
        <f>4322+33.045</f>
        <v>4355.045</v>
      </c>
      <c r="F22" s="63"/>
      <c r="G22" s="35">
        <f t="shared" si="3"/>
        <v>4355.045</v>
      </c>
      <c r="H22" s="35"/>
      <c r="I22" s="212">
        <f>4322+33.045</f>
        <v>4355.045</v>
      </c>
      <c r="J22" s="64"/>
      <c r="K22" s="63"/>
      <c r="L22" s="211"/>
      <c r="M22" s="65"/>
      <c r="N22" s="153">
        <f t="shared" si="4"/>
        <v>100</v>
      </c>
      <c r="O22" s="65"/>
    </row>
    <row r="23" spans="1:15" ht="18.75">
      <c r="A23" s="30">
        <v>11</v>
      </c>
      <c r="B23" s="31" t="s">
        <v>222</v>
      </c>
      <c r="C23" s="63">
        <f t="shared" si="2"/>
        <v>3191.338</v>
      </c>
      <c r="D23" s="63">
        <v>268</v>
      </c>
      <c r="E23" s="146">
        <f>2216.338+707</f>
        <v>2923.338</v>
      </c>
      <c r="F23" s="63"/>
      <c r="G23" s="35">
        <f t="shared" si="3"/>
        <v>3191.093</v>
      </c>
      <c r="H23" s="35">
        <v>268</v>
      </c>
      <c r="I23" s="145">
        <v>2923.093</v>
      </c>
      <c r="J23" s="64"/>
      <c r="K23" s="63"/>
      <c r="L23" s="211"/>
      <c r="M23" s="65">
        <f>H23/D23*100</f>
        <v>100</v>
      </c>
      <c r="N23" s="153">
        <f t="shared" si="4"/>
        <v>99.99161916959311</v>
      </c>
      <c r="O23" s="65"/>
    </row>
    <row r="24" spans="1:15" ht="18.75">
      <c r="A24" s="30">
        <v>12</v>
      </c>
      <c r="B24" s="31" t="s">
        <v>223</v>
      </c>
      <c r="C24" s="63">
        <f t="shared" si="2"/>
        <v>811.255</v>
      </c>
      <c r="D24" s="63"/>
      <c r="E24" s="145">
        <v>811.255</v>
      </c>
      <c r="F24" s="63"/>
      <c r="G24" s="35">
        <f t="shared" si="3"/>
        <v>811.255</v>
      </c>
      <c r="H24" s="35"/>
      <c r="I24" s="145">
        <v>811.255</v>
      </c>
      <c r="J24" s="64"/>
      <c r="K24" s="63"/>
      <c r="L24" s="211"/>
      <c r="M24" s="65"/>
      <c r="N24" s="153">
        <f t="shared" si="4"/>
        <v>100</v>
      </c>
      <c r="O24" s="68"/>
    </row>
    <row r="25" spans="1:15" ht="18.75">
      <c r="A25" s="30">
        <v>13</v>
      </c>
      <c r="B25" s="31" t="s">
        <v>224</v>
      </c>
      <c r="C25" s="63">
        <f t="shared" si="2"/>
        <v>815.63</v>
      </c>
      <c r="D25" s="63"/>
      <c r="E25" s="145">
        <v>815.63</v>
      </c>
      <c r="F25" s="63"/>
      <c r="G25" s="35">
        <f t="shared" si="3"/>
        <v>815.63</v>
      </c>
      <c r="H25" s="35"/>
      <c r="I25" s="145">
        <v>815.63</v>
      </c>
      <c r="J25" s="64"/>
      <c r="K25" s="63"/>
      <c r="L25" s="211"/>
      <c r="M25" s="65"/>
      <c r="N25" s="153">
        <f t="shared" si="4"/>
        <v>100</v>
      </c>
      <c r="O25" s="68"/>
    </row>
    <row r="26" spans="1:15" ht="18.75">
      <c r="A26" s="30">
        <v>14</v>
      </c>
      <c r="B26" s="31" t="s">
        <v>307</v>
      </c>
      <c r="C26" s="63">
        <f t="shared" si="2"/>
        <v>351.864</v>
      </c>
      <c r="D26" s="63"/>
      <c r="E26" s="145">
        <v>351.864</v>
      </c>
      <c r="F26" s="63"/>
      <c r="G26" s="35">
        <f t="shared" si="3"/>
        <v>351.864</v>
      </c>
      <c r="H26" s="35"/>
      <c r="I26" s="145">
        <v>351.864</v>
      </c>
      <c r="J26" s="64"/>
      <c r="K26" s="63"/>
      <c r="L26" s="211"/>
      <c r="M26" s="65"/>
      <c r="N26" s="153">
        <f t="shared" si="4"/>
        <v>100</v>
      </c>
      <c r="O26" s="68"/>
    </row>
    <row r="27" spans="1:15" ht="18.75">
      <c r="A27" s="30">
        <v>15</v>
      </c>
      <c r="B27" s="31" t="s">
        <v>308</v>
      </c>
      <c r="C27" s="63">
        <f t="shared" si="2"/>
        <v>1034.607</v>
      </c>
      <c r="D27" s="63"/>
      <c r="E27" s="145">
        <v>1034.607</v>
      </c>
      <c r="F27" s="63"/>
      <c r="G27" s="35">
        <f t="shared" si="3"/>
        <v>1034.607</v>
      </c>
      <c r="H27" s="35"/>
      <c r="I27" s="145">
        <v>1034.607</v>
      </c>
      <c r="J27" s="64"/>
      <c r="K27" s="63"/>
      <c r="L27" s="211"/>
      <c r="M27" s="65"/>
      <c r="N27" s="153">
        <f t="shared" si="4"/>
        <v>100</v>
      </c>
      <c r="O27" s="68"/>
    </row>
    <row r="28" spans="1:15" ht="18.75">
      <c r="A28" s="158">
        <v>16</v>
      </c>
      <c r="B28" s="159" t="s">
        <v>309</v>
      </c>
      <c r="C28" s="76">
        <f t="shared" si="2"/>
        <v>2594.303</v>
      </c>
      <c r="D28" s="76"/>
      <c r="E28" s="76">
        <v>2594.303</v>
      </c>
      <c r="F28" s="76"/>
      <c r="G28" s="160">
        <f t="shared" si="3"/>
        <v>2581.351</v>
      </c>
      <c r="H28" s="160"/>
      <c r="I28" s="214">
        <v>2581.351</v>
      </c>
      <c r="J28" s="77"/>
      <c r="K28" s="76"/>
      <c r="L28" s="215"/>
      <c r="M28" s="161"/>
      <c r="N28" s="216">
        <f t="shared" si="4"/>
        <v>99.50075222516415</v>
      </c>
      <c r="O28" s="162"/>
    </row>
    <row r="29" spans="1:15" ht="18.75">
      <c r="A29" s="79">
        <v>17</v>
      </c>
      <c r="B29" s="80" t="s">
        <v>225</v>
      </c>
      <c r="C29" s="81">
        <f t="shared" si="2"/>
        <v>966.878</v>
      </c>
      <c r="D29" s="81"/>
      <c r="E29" s="81">
        <v>966.878</v>
      </c>
      <c r="F29" s="81"/>
      <c r="G29" s="82">
        <f t="shared" si="3"/>
        <v>966.878</v>
      </c>
      <c r="H29" s="82"/>
      <c r="I29" s="217">
        <v>966.878</v>
      </c>
      <c r="J29" s="83"/>
      <c r="K29" s="81"/>
      <c r="L29" s="218"/>
      <c r="M29" s="84"/>
      <c r="N29" s="81">
        <f t="shared" si="4"/>
        <v>100</v>
      </c>
      <c r="O29" s="163"/>
    </row>
    <row r="30" spans="1:15" ht="25.5">
      <c r="A30" s="30">
        <v>18</v>
      </c>
      <c r="B30" s="31" t="s">
        <v>310</v>
      </c>
      <c r="C30" s="63">
        <f t="shared" si="2"/>
        <v>1062.956</v>
      </c>
      <c r="D30" s="63"/>
      <c r="E30" s="63">
        <v>1062.956</v>
      </c>
      <c r="F30" s="63"/>
      <c r="G30" s="35">
        <f t="shared" si="3"/>
        <v>1062.956</v>
      </c>
      <c r="H30" s="35"/>
      <c r="I30" s="144">
        <v>1062.956</v>
      </c>
      <c r="J30" s="64"/>
      <c r="K30" s="63"/>
      <c r="L30" s="211"/>
      <c r="M30" s="65"/>
      <c r="N30" s="63">
        <f t="shared" si="4"/>
        <v>100</v>
      </c>
      <c r="O30" s="68"/>
    </row>
    <row r="31" spans="1:15" ht="18.75">
      <c r="A31" s="30">
        <v>19</v>
      </c>
      <c r="B31" s="31" t="s">
        <v>311</v>
      </c>
      <c r="C31" s="63">
        <f t="shared" si="2"/>
        <v>2892.049</v>
      </c>
      <c r="D31" s="63">
        <v>535.387</v>
      </c>
      <c r="E31" s="63">
        <f>2330.446+26.216</f>
        <v>2356.662</v>
      </c>
      <c r="F31" s="63"/>
      <c r="G31" s="35">
        <f t="shared" si="3"/>
        <v>2891.2559999999994</v>
      </c>
      <c r="H31" s="35">
        <f>D31</f>
        <v>535.387</v>
      </c>
      <c r="I31" s="145">
        <f>2329.653+26.216</f>
        <v>2355.8689999999997</v>
      </c>
      <c r="J31" s="64"/>
      <c r="K31" s="63"/>
      <c r="L31" s="144"/>
      <c r="M31" s="65">
        <f>H31/D31*100</f>
        <v>100</v>
      </c>
      <c r="N31" s="66">
        <f t="shared" si="4"/>
        <v>99.96635071130268</v>
      </c>
      <c r="O31" s="68"/>
    </row>
    <row r="32" spans="1:15" ht="18.75">
      <c r="A32" s="30">
        <v>20</v>
      </c>
      <c r="B32" s="31" t="s">
        <v>312</v>
      </c>
      <c r="C32" s="63">
        <f t="shared" si="2"/>
        <v>2877.399</v>
      </c>
      <c r="D32" s="63">
        <v>450</v>
      </c>
      <c r="E32" s="144">
        <v>2427.399</v>
      </c>
      <c r="F32" s="63"/>
      <c r="G32" s="35">
        <f t="shared" si="3"/>
        <v>2877.399</v>
      </c>
      <c r="H32" s="35">
        <v>450</v>
      </c>
      <c r="I32" s="144">
        <v>2427.399</v>
      </c>
      <c r="J32" s="64"/>
      <c r="K32" s="63"/>
      <c r="L32" s="211"/>
      <c r="M32" s="65">
        <f>H32/D32*100</f>
        <v>100</v>
      </c>
      <c r="N32" s="63">
        <f t="shared" si="4"/>
        <v>100</v>
      </c>
      <c r="O32" s="68"/>
    </row>
    <row r="33" spans="1:15" ht="25.5">
      <c r="A33" s="30">
        <v>21</v>
      </c>
      <c r="B33" s="31" t="s">
        <v>313</v>
      </c>
      <c r="C33" s="63">
        <f t="shared" si="2"/>
        <v>3010.627</v>
      </c>
      <c r="D33" s="63">
        <v>792.627</v>
      </c>
      <c r="E33" s="213">
        <v>2218</v>
      </c>
      <c r="F33" s="63"/>
      <c r="G33" s="35">
        <f t="shared" si="3"/>
        <v>2973.982</v>
      </c>
      <c r="H33" s="35">
        <v>791.982</v>
      </c>
      <c r="I33" s="219">
        <v>2182</v>
      </c>
      <c r="J33" s="64"/>
      <c r="K33" s="63"/>
      <c r="L33" s="211"/>
      <c r="M33" s="65">
        <f>H33/D33*100</f>
        <v>99.9186250279135</v>
      </c>
      <c r="N33" s="66">
        <f t="shared" si="4"/>
        <v>98.37691614066728</v>
      </c>
      <c r="O33" s="68"/>
    </row>
    <row r="34" spans="1:15" ht="18.75">
      <c r="A34" s="30">
        <v>22</v>
      </c>
      <c r="B34" s="31" t="s">
        <v>314</v>
      </c>
      <c r="C34" s="63">
        <f t="shared" si="2"/>
        <v>4332.451</v>
      </c>
      <c r="D34" s="63"/>
      <c r="E34" s="212">
        <f>4235+61.594+35.857</f>
        <v>4332.451</v>
      </c>
      <c r="F34" s="63"/>
      <c r="G34" s="35">
        <f t="shared" si="3"/>
        <v>4332.451</v>
      </c>
      <c r="H34" s="35"/>
      <c r="I34" s="212">
        <f>4235+61.594+35.857</f>
        <v>4332.451</v>
      </c>
      <c r="J34" s="64"/>
      <c r="K34" s="64"/>
      <c r="L34" s="211"/>
      <c r="M34" s="65"/>
      <c r="N34" s="63">
        <f t="shared" si="4"/>
        <v>100</v>
      </c>
      <c r="O34" s="68"/>
    </row>
    <row r="35" spans="1:15" ht="18.75">
      <c r="A35" s="30">
        <v>23</v>
      </c>
      <c r="B35" s="33" t="s">
        <v>226</v>
      </c>
      <c r="C35" s="63">
        <f t="shared" si="2"/>
        <v>1893.184</v>
      </c>
      <c r="D35" s="63">
        <v>400</v>
      </c>
      <c r="E35" s="212">
        <f>1394+99.184</f>
        <v>1493.184</v>
      </c>
      <c r="F35" s="142"/>
      <c r="G35" s="35">
        <f t="shared" si="3"/>
        <v>1794</v>
      </c>
      <c r="H35" s="35">
        <v>400</v>
      </c>
      <c r="I35" s="212">
        <v>1394</v>
      </c>
      <c r="J35" s="143"/>
      <c r="K35" s="143"/>
      <c r="L35" s="220"/>
      <c r="M35" s="154">
        <f>H35/D35*100</f>
        <v>100</v>
      </c>
      <c r="N35" s="66">
        <f t="shared" si="4"/>
        <v>93.35755004071837</v>
      </c>
      <c r="O35" s="68"/>
    </row>
    <row r="36" spans="1:15" ht="18.75">
      <c r="A36" s="30">
        <v>24</v>
      </c>
      <c r="B36" s="33" t="s">
        <v>315</v>
      </c>
      <c r="C36" s="63">
        <f t="shared" si="2"/>
        <v>3175.541</v>
      </c>
      <c r="D36" s="63">
        <v>100</v>
      </c>
      <c r="E36" s="212">
        <f>2593+482.541</f>
        <v>3075.541</v>
      </c>
      <c r="F36" s="146"/>
      <c r="G36" s="35">
        <f t="shared" si="3"/>
        <v>3174.186</v>
      </c>
      <c r="H36" s="35">
        <v>98.645</v>
      </c>
      <c r="I36" s="212">
        <f>2593+482.541</f>
        <v>3075.541</v>
      </c>
      <c r="J36" s="147"/>
      <c r="K36" s="148"/>
      <c r="L36" s="221"/>
      <c r="M36" s="65">
        <f>H36/D36*100</f>
        <v>98.645</v>
      </c>
      <c r="N36" s="66">
        <f t="shared" si="4"/>
        <v>100</v>
      </c>
      <c r="O36" s="68"/>
    </row>
    <row r="37" spans="1:15" ht="18.75">
      <c r="A37" s="30">
        <v>25</v>
      </c>
      <c r="B37" s="29" t="s">
        <v>151</v>
      </c>
      <c r="C37" s="63">
        <f t="shared" si="2"/>
        <v>1762.555</v>
      </c>
      <c r="D37" s="63"/>
      <c r="E37" s="63">
        <v>1762.555</v>
      </c>
      <c r="F37" s="63"/>
      <c r="G37" s="35">
        <f t="shared" si="3"/>
        <v>1762.555</v>
      </c>
      <c r="H37" s="35"/>
      <c r="I37" s="35">
        <v>1762.555</v>
      </c>
      <c r="J37" s="64"/>
      <c r="K37" s="64"/>
      <c r="L37" s="221"/>
      <c r="M37" s="65"/>
      <c r="N37" s="63">
        <f t="shared" si="4"/>
        <v>100</v>
      </c>
      <c r="O37" s="68"/>
    </row>
    <row r="38" spans="1:15" ht="18.75">
      <c r="A38" s="30">
        <v>26</v>
      </c>
      <c r="B38" s="29" t="s">
        <v>152</v>
      </c>
      <c r="C38" s="63">
        <f t="shared" si="2"/>
        <v>4967.40615</v>
      </c>
      <c r="D38" s="63"/>
      <c r="E38" s="63">
        <v>4967.40615</v>
      </c>
      <c r="F38" s="63"/>
      <c r="G38" s="35">
        <f t="shared" si="3"/>
        <v>4967.40615</v>
      </c>
      <c r="H38" s="35"/>
      <c r="I38" s="35">
        <v>4967.40615</v>
      </c>
      <c r="J38" s="64"/>
      <c r="K38" s="64"/>
      <c r="L38" s="221"/>
      <c r="M38" s="65"/>
      <c r="N38" s="63">
        <f t="shared" si="4"/>
        <v>100</v>
      </c>
      <c r="O38" s="68"/>
    </row>
    <row r="39" spans="1:15" ht="18.75">
      <c r="A39" s="30">
        <v>27</v>
      </c>
      <c r="B39" s="29" t="s">
        <v>153</v>
      </c>
      <c r="C39" s="63">
        <f t="shared" si="2"/>
        <v>2535.92769</v>
      </c>
      <c r="D39" s="63"/>
      <c r="E39" s="63">
        <v>2535.92769</v>
      </c>
      <c r="F39" s="63"/>
      <c r="G39" s="35">
        <f t="shared" si="3"/>
        <v>2535.92769</v>
      </c>
      <c r="H39" s="35"/>
      <c r="I39" s="35">
        <v>2535.92769</v>
      </c>
      <c r="J39" s="64"/>
      <c r="K39" s="64"/>
      <c r="L39" s="211"/>
      <c r="M39" s="65"/>
      <c r="N39" s="63">
        <f t="shared" si="4"/>
        <v>100</v>
      </c>
      <c r="O39" s="68"/>
    </row>
    <row r="40" spans="1:15" ht="18.75">
      <c r="A40" s="30">
        <v>28</v>
      </c>
      <c r="B40" s="29" t="s">
        <v>154</v>
      </c>
      <c r="C40" s="63">
        <f t="shared" si="2"/>
        <v>3016.934</v>
      </c>
      <c r="D40" s="63"/>
      <c r="E40" s="63">
        <v>3016.934</v>
      </c>
      <c r="F40" s="63"/>
      <c r="G40" s="35">
        <f t="shared" si="3"/>
        <v>2986.202683</v>
      </c>
      <c r="H40" s="35"/>
      <c r="I40" s="35">
        <v>2941.702683</v>
      </c>
      <c r="J40" s="64"/>
      <c r="K40" s="64"/>
      <c r="L40" s="221">
        <v>44.5</v>
      </c>
      <c r="M40" s="65"/>
      <c r="N40" s="66">
        <f t="shared" si="4"/>
        <v>97.50636517073293</v>
      </c>
      <c r="O40" s="68"/>
    </row>
    <row r="41" spans="1:15" ht="18.75">
      <c r="A41" s="30">
        <v>29</v>
      </c>
      <c r="B41" s="29" t="s">
        <v>155</v>
      </c>
      <c r="C41" s="63">
        <f t="shared" si="2"/>
        <v>2701.030995</v>
      </c>
      <c r="D41" s="63"/>
      <c r="E41" s="63">
        <v>2701.030995</v>
      </c>
      <c r="F41" s="63"/>
      <c r="G41" s="35">
        <f t="shared" si="3"/>
        <v>2701.030995</v>
      </c>
      <c r="H41" s="35"/>
      <c r="I41" s="35">
        <v>2701.030995</v>
      </c>
      <c r="J41" s="64"/>
      <c r="K41" s="64"/>
      <c r="L41" s="221"/>
      <c r="M41" s="65"/>
      <c r="N41" s="63">
        <f t="shared" si="4"/>
        <v>100</v>
      </c>
      <c r="O41" s="68"/>
    </row>
    <row r="42" spans="1:15" ht="18.75">
      <c r="A42" s="30">
        <v>30</v>
      </c>
      <c r="B42" s="29" t="s">
        <v>156</v>
      </c>
      <c r="C42" s="63">
        <f t="shared" si="2"/>
        <v>932.591</v>
      </c>
      <c r="D42" s="63"/>
      <c r="E42" s="63">
        <v>932.591</v>
      </c>
      <c r="F42" s="63"/>
      <c r="G42" s="35">
        <f t="shared" si="3"/>
        <v>932.591</v>
      </c>
      <c r="H42" s="35"/>
      <c r="I42" s="35">
        <v>932.591</v>
      </c>
      <c r="J42" s="64"/>
      <c r="K42" s="64"/>
      <c r="L42" s="221"/>
      <c r="M42" s="65"/>
      <c r="N42" s="63">
        <f t="shared" si="4"/>
        <v>100</v>
      </c>
      <c r="O42" s="68"/>
    </row>
    <row r="43" spans="1:15" ht="18.75">
      <c r="A43" s="30">
        <v>31</v>
      </c>
      <c r="B43" s="29" t="s">
        <v>22</v>
      </c>
      <c r="C43" s="63">
        <f t="shared" si="2"/>
        <v>1908.096</v>
      </c>
      <c r="D43" s="63"/>
      <c r="E43" s="63">
        <v>1908.096</v>
      </c>
      <c r="F43" s="63"/>
      <c r="G43" s="35">
        <f t="shared" si="3"/>
        <v>1906.636</v>
      </c>
      <c r="H43" s="35"/>
      <c r="I43" s="35">
        <v>1906.636</v>
      </c>
      <c r="J43" s="64"/>
      <c r="K43" s="64"/>
      <c r="L43" s="221"/>
      <c r="M43" s="65"/>
      <c r="N43" s="63">
        <f t="shared" si="4"/>
        <v>99.92348393372241</v>
      </c>
      <c r="O43" s="68"/>
    </row>
    <row r="44" spans="1:15" ht="18.75">
      <c r="A44" s="30">
        <v>32</v>
      </c>
      <c r="B44" s="29" t="s">
        <v>21</v>
      </c>
      <c r="C44" s="63">
        <f t="shared" si="2"/>
        <v>1729.757301</v>
      </c>
      <c r="D44" s="63"/>
      <c r="E44" s="63">
        <v>1729.757301</v>
      </c>
      <c r="F44" s="63"/>
      <c r="G44" s="35">
        <f t="shared" si="3"/>
        <v>1729.757301</v>
      </c>
      <c r="H44" s="35"/>
      <c r="I44" s="35">
        <v>1729.757301</v>
      </c>
      <c r="J44" s="64"/>
      <c r="K44" s="64"/>
      <c r="L44" s="221"/>
      <c r="M44" s="65"/>
      <c r="N44" s="63">
        <f t="shared" si="4"/>
        <v>100</v>
      </c>
      <c r="O44" s="68"/>
    </row>
    <row r="45" spans="1:15" ht="18.75">
      <c r="A45" s="30">
        <v>33</v>
      </c>
      <c r="B45" s="29" t="s">
        <v>23</v>
      </c>
      <c r="C45" s="63">
        <f t="shared" si="2"/>
        <v>2345.264</v>
      </c>
      <c r="D45" s="63"/>
      <c r="E45" s="63">
        <v>2345.264</v>
      </c>
      <c r="F45" s="63"/>
      <c r="G45" s="35">
        <f t="shared" si="3"/>
        <v>2344.264</v>
      </c>
      <c r="H45" s="35"/>
      <c r="I45" s="35">
        <v>2344.264</v>
      </c>
      <c r="J45" s="64"/>
      <c r="K45" s="64"/>
      <c r="L45" s="211"/>
      <c r="M45" s="65"/>
      <c r="N45" s="63">
        <f t="shared" si="4"/>
        <v>99.9573608770697</v>
      </c>
      <c r="O45" s="68"/>
    </row>
    <row r="46" spans="1:15" ht="18.75">
      <c r="A46" s="30">
        <v>34</v>
      </c>
      <c r="B46" s="29" t="s">
        <v>24</v>
      </c>
      <c r="C46" s="63">
        <f t="shared" si="2"/>
        <v>3439.88</v>
      </c>
      <c r="D46" s="63"/>
      <c r="E46" s="63">
        <v>3439.88</v>
      </c>
      <c r="F46" s="63"/>
      <c r="G46" s="35">
        <f t="shared" si="3"/>
        <v>3439.378</v>
      </c>
      <c r="H46" s="35"/>
      <c r="I46" s="35">
        <v>3439.378</v>
      </c>
      <c r="J46" s="64"/>
      <c r="K46" s="64"/>
      <c r="L46" s="211"/>
      <c r="M46" s="65"/>
      <c r="N46" s="63">
        <f t="shared" si="4"/>
        <v>99.98540646766749</v>
      </c>
      <c r="O46" s="68"/>
    </row>
    <row r="47" spans="1:15" ht="18.75">
      <c r="A47" s="30">
        <v>35</v>
      </c>
      <c r="B47" s="29" t="s">
        <v>157</v>
      </c>
      <c r="C47" s="63">
        <f t="shared" si="2"/>
        <v>3098.108</v>
      </c>
      <c r="D47" s="63"/>
      <c r="E47" s="63">
        <v>3098.108</v>
      </c>
      <c r="F47" s="63"/>
      <c r="G47" s="35">
        <f t="shared" si="3"/>
        <v>3098.108</v>
      </c>
      <c r="H47" s="35"/>
      <c r="I47" s="35">
        <v>3098.108</v>
      </c>
      <c r="J47" s="64"/>
      <c r="K47" s="64"/>
      <c r="L47" s="221"/>
      <c r="M47" s="65"/>
      <c r="N47" s="63">
        <f t="shared" si="4"/>
        <v>100</v>
      </c>
      <c r="O47" s="68"/>
    </row>
    <row r="48" spans="1:15" ht="18.75">
      <c r="A48" s="30">
        <v>36</v>
      </c>
      <c r="B48" s="29" t="s">
        <v>25</v>
      </c>
      <c r="C48" s="63">
        <f t="shared" si="2"/>
        <v>3531.443</v>
      </c>
      <c r="D48" s="63"/>
      <c r="E48" s="63">
        <v>3531.443</v>
      </c>
      <c r="F48" s="63"/>
      <c r="G48" s="35">
        <f t="shared" si="3"/>
        <v>3531.26</v>
      </c>
      <c r="H48" s="35"/>
      <c r="I48" s="35">
        <v>3531.26</v>
      </c>
      <c r="J48" s="64"/>
      <c r="K48" s="64"/>
      <c r="L48" s="211"/>
      <c r="M48" s="65"/>
      <c r="N48" s="63">
        <f t="shared" si="4"/>
        <v>99.99481798233754</v>
      </c>
      <c r="O48" s="68"/>
    </row>
    <row r="49" spans="1:15" ht="18.75">
      <c r="A49" s="30">
        <v>37</v>
      </c>
      <c r="B49" s="29" t="s">
        <v>158</v>
      </c>
      <c r="C49" s="63">
        <f t="shared" si="2"/>
        <v>2715.09357</v>
      </c>
      <c r="D49" s="63"/>
      <c r="E49" s="63">
        <v>2715.09357</v>
      </c>
      <c r="F49" s="63"/>
      <c r="G49" s="35">
        <f t="shared" si="3"/>
        <v>2715.09357</v>
      </c>
      <c r="H49" s="35"/>
      <c r="I49" s="35">
        <v>2715.09357</v>
      </c>
      <c r="J49" s="64"/>
      <c r="K49" s="64"/>
      <c r="L49" s="211"/>
      <c r="M49" s="65"/>
      <c r="N49" s="63">
        <f t="shared" si="4"/>
        <v>100</v>
      </c>
      <c r="O49" s="68"/>
    </row>
    <row r="50" spans="1:15" ht="18.75">
      <c r="A50" s="30">
        <v>38</v>
      </c>
      <c r="B50" s="29" t="s">
        <v>159</v>
      </c>
      <c r="C50" s="63">
        <f t="shared" si="2"/>
        <v>3473.557</v>
      </c>
      <c r="D50" s="63"/>
      <c r="E50" s="63">
        <v>3473.557</v>
      </c>
      <c r="F50" s="63"/>
      <c r="G50" s="35">
        <f t="shared" si="3"/>
        <v>3473.557</v>
      </c>
      <c r="H50" s="35"/>
      <c r="I50" s="35">
        <v>3473.557</v>
      </c>
      <c r="J50" s="64"/>
      <c r="K50" s="64"/>
      <c r="L50" s="211"/>
      <c r="M50" s="65"/>
      <c r="N50" s="63">
        <f t="shared" si="4"/>
        <v>100</v>
      </c>
      <c r="O50" s="68"/>
    </row>
    <row r="51" spans="1:15" ht="18.75">
      <c r="A51" s="30">
        <v>39</v>
      </c>
      <c r="B51" s="29" t="s">
        <v>160</v>
      </c>
      <c r="C51" s="63">
        <f t="shared" si="2"/>
        <v>2933.936</v>
      </c>
      <c r="D51" s="63"/>
      <c r="E51" s="63">
        <v>2933.936</v>
      </c>
      <c r="F51" s="63"/>
      <c r="G51" s="35">
        <f t="shared" si="3"/>
        <v>2933.936</v>
      </c>
      <c r="H51" s="35"/>
      <c r="I51" s="35">
        <v>2933.936</v>
      </c>
      <c r="J51" s="64"/>
      <c r="K51" s="64"/>
      <c r="L51" s="211"/>
      <c r="M51" s="65"/>
      <c r="N51" s="63">
        <f t="shared" si="4"/>
        <v>100</v>
      </c>
      <c r="O51" s="68"/>
    </row>
    <row r="52" spans="1:15" ht="18.75">
      <c r="A52" s="30">
        <v>40</v>
      </c>
      <c r="B52" s="29" t="s">
        <v>26</v>
      </c>
      <c r="C52" s="63">
        <f t="shared" si="2"/>
        <v>3096.52442</v>
      </c>
      <c r="D52" s="63"/>
      <c r="E52" s="63">
        <v>3096.52442</v>
      </c>
      <c r="F52" s="63"/>
      <c r="G52" s="35">
        <f t="shared" si="3"/>
        <v>3096.52442</v>
      </c>
      <c r="H52" s="35"/>
      <c r="I52" s="35">
        <v>3096.52442</v>
      </c>
      <c r="J52" s="64"/>
      <c r="K52" s="64"/>
      <c r="L52" s="211"/>
      <c r="M52" s="65"/>
      <c r="N52" s="63">
        <f t="shared" si="4"/>
        <v>100</v>
      </c>
      <c r="O52" s="68"/>
    </row>
    <row r="53" spans="1:15" ht="18.75">
      <c r="A53" s="30">
        <v>41</v>
      </c>
      <c r="B53" s="29" t="s">
        <v>161</v>
      </c>
      <c r="C53" s="63">
        <f t="shared" si="2"/>
        <v>3206.371</v>
      </c>
      <c r="D53" s="63"/>
      <c r="E53" s="63">
        <f>3111.532+94.839</f>
        <v>3206.371</v>
      </c>
      <c r="F53" s="63"/>
      <c r="G53" s="35">
        <f t="shared" si="3"/>
        <v>3206.371</v>
      </c>
      <c r="H53" s="35"/>
      <c r="I53" s="63">
        <f>3111.532+94.839</f>
        <v>3206.371</v>
      </c>
      <c r="J53" s="64"/>
      <c r="K53" s="64"/>
      <c r="L53" s="221"/>
      <c r="M53" s="65"/>
      <c r="N53" s="63">
        <f t="shared" si="4"/>
        <v>100</v>
      </c>
      <c r="O53" s="68"/>
    </row>
    <row r="54" spans="1:15" ht="18.75">
      <c r="A54" s="30">
        <v>42</v>
      </c>
      <c r="B54" s="29" t="s">
        <v>162</v>
      </c>
      <c r="C54" s="63">
        <f t="shared" si="2"/>
        <v>3593.324004</v>
      </c>
      <c r="D54" s="63"/>
      <c r="E54" s="63">
        <v>3593.324004</v>
      </c>
      <c r="F54" s="63"/>
      <c r="G54" s="35">
        <f t="shared" si="3"/>
        <v>3593.324004</v>
      </c>
      <c r="H54" s="35"/>
      <c r="I54" s="35">
        <v>3593.324004</v>
      </c>
      <c r="J54" s="64"/>
      <c r="K54" s="64"/>
      <c r="L54" s="221"/>
      <c r="M54" s="65"/>
      <c r="N54" s="63">
        <f t="shared" si="4"/>
        <v>100</v>
      </c>
      <c r="O54" s="68"/>
    </row>
    <row r="55" spans="1:15" ht="18.75">
      <c r="A55" s="30">
        <v>43</v>
      </c>
      <c r="B55" s="29" t="s">
        <v>163</v>
      </c>
      <c r="C55" s="63">
        <f t="shared" si="2"/>
        <v>3248.345</v>
      </c>
      <c r="D55" s="63"/>
      <c r="E55" s="63">
        <v>3248.345</v>
      </c>
      <c r="F55" s="63"/>
      <c r="G55" s="35">
        <f t="shared" si="3"/>
        <v>3248.345</v>
      </c>
      <c r="H55" s="35"/>
      <c r="I55" s="35">
        <v>3248.345</v>
      </c>
      <c r="J55" s="64"/>
      <c r="K55" s="64"/>
      <c r="L55" s="221"/>
      <c r="M55" s="65"/>
      <c r="N55" s="63">
        <f t="shared" si="4"/>
        <v>100</v>
      </c>
      <c r="O55" s="68"/>
    </row>
    <row r="56" spans="1:15" ht="18.75">
      <c r="A56" s="30">
        <v>44</v>
      </c>
      <c r="B56" s="29" t="s">
        <v>164</v>
      </c>
      <c r="C56" s="63">
        <f t="shared" si="2"/>
        <v>3934.235</v>
      </c>
      <c r="D56" s="63"/>
      <c r="E56" s="63">
        <v>3934.235</v>
      </c>
      <c r="F56" s="63"/>
      <c r="G56" s="35">
        <f t="shared" si="3"/>
        <v>3934.235</v>
      </c>
      <c r="H56" s="35"/>
      <c r="I56" s="35">
        <v>3934.235</v>
      </c>
      <c r="J56" s="64"/>
      <c r="K56" s="64"/>
      <c r="L56" s="211"/>
      <c r="M56" s="65"/>
      <c r="N56" s="63">
        <f t="shared" si="4"/>
        <v>100</v>
      </c>
      <c r="O56" s="68"/>
    </row>
    <row r="57" spans="1:15" ht="18.75">
      <c r="A57" s="158">
        <v>45</v>
      </c>
      <c r="B57" s="164" t="s">
        <v>165</v>
      </c>
      <c r="C57" s="76">
        <f t="shared" si="2"/>
        <v>2375.938</v>
      </c>
      <c r="D57" s="76"/>
      <c r="E57" s="76">
        <v>2375.938</v>
      </c>
      <c r="F57" s="76"/>
      <c r="G57" s="160">
        <f t="shared" si="3"/>
        <v>2375.938</v>
      </c>
      <c r="H57" s="160"/>
      <c r="I57" s="160">
        <v>2375.938</v>
      </c>
      <c r="J57" s="77"/>
      <c r="K57" s="77"/>
      <c r="L57" s="222"/>
      <c r="M57" s="161"/>
      <c r="N57" s="76">
        <f t="shared" si="4"/>
        <v>100</v>
      </c>
      <c r="O57" s="162"/>
    </row>
    <row r="58" spans="1:15" ht="18.75">
      <c r="A58" s="79">
        <v>46</v>
      </c>
      <c r="B58" s="166" t="s">
        <v>166</v>
      </c>
      <c r="C58" s="81">
        <f t="shared" si="2"/>
        <v>2941.364</v>
      </c>
      <c r="D58" s="81"/>
      <c r="E58" s="81">
        <v>2941.364</v>
      </c>
      <c r="F58" s="81"/>
      <c r="G58" s="82">
        <f t="shared" si="3"/>
        <v>2941.364</v>
      </c>
      <c r="H58" s="82"/>
      <c r="I58" s="82">
        <v>2941.364</v>
      </c>
      <c r="J58" s="83"/>
      <c r="K58" s="83"/>
      <c r="L58" s="223"/>
      <c r="M58" s="84"/>
      <c r="N58" s="81">
        <f t="shared" si="4"/>
        <v>100</v>
      </c>
      <c r="O58" s="163"/>
    </row>
    <row r="59" spans="1:15" ht="18.75">
      <c r="A59" s="30">
        <v>47</v>
      </c>
      <c r="B59" s="29" t="s">
        <v>167</v>
      </c>
      <c r="C59" s="63">
        <f t="shared" si="2"/>
        <v>2872.631019</v>
      </c>
      <c r="D59" s="63"/>
      <c r="E59" s="63">
        <v>2872.631019</v>
      </c>
      <c r="F59" s="63"/>
      <c r="G59" s="35">
        <f t="shared" si="3"/>
        <v>2837.631019</v>
      </c>
      <c r="H59" s="35"/>
      <c r="I59" s="35">
        <v>2837.631019</v>
      </c>
      <c r="J59" s="64"/>
      <c r="K59" s="64"/>
      <c r="L59" s="221"/>
      <c r="M59" s="65"/>
      <c r="N59" s="63">
        <f t="shared" si="4"/>
        <v>98.78160474601489</v>
      </c>
      <c r="O59" s="68"/>
    </row>
    <row r="60" spans="1:15" ht="18.75">
      <c r="A60" s="30">
        <v>48</v>
      </c>
      <c r="B60" s="29" t="s">
        <v>168</v>
      </c>
      <c r="C60" s="63">
        <f t="shared" si="2"/>
        <v>3454.268565</v>
      </c>
      <c r="D60" s="63"/>
      <c r="E60" s="63">
        <v>3454.268565</v>
      </c>
      <c r="F60" s="63"/>
      <c r="G60" s="35">
        <f t="shared" si="3"/>
        <v>3305.016565</v>
      </c>
      <c r="H60" s="35"/>
      <c r="I60" s="35">
        <v>3305.016565</v>
      </c>
      <c r="J60" s="64"/>
      <c r="K60" s="64"/>
      <c r="L60" s="221"/>
      <c r="M60" s="65"/>
      <c r="N60" s="63">
        <f t="shared" si="4"/>
        <v>95.67920104672001</v>
      </c>
      <c r="O60" s="68"/>
    </row>
    <row r="61" spans="1:15" ht="18.75">
      <c r="A61" s="30">
        <v>49</v>
      </c>
      <c r="B61" s="29" t="s">
        <v>169</v>
      </c>
      <c r="C61" s="63">
        <f t="shared" si="2"/>
        <v>2410.979</v>
      </c>
      <c r="D61" s="63"/>
      <c r="E61" s="63">
        <v>2410.979</v>
      </c>
      <c r="F61" s="63"/>
      <c r="G61" s="35">
        <f t="shared" si="3"/>
        <v>2410.357</v>
      </c>
      <c r="H61" s="35"/>
      <c r="I61" s="35">
        <v>2410.357</v>
      </c>
      <c r="J61" s="64"/>
      <c r="K61" s="64"/>
      <c r="L61" s="211"/>
      <c r="M61" s="65"/>
      <c r="N61" s="63">
        <f t="shared" si="4"/>
        <v>99.97420135140123</v>
      </c>
      <c r="O61" s="68"/>
    </row>
    <row r="62" spans="1:15" ht="18.75">
      <c r="A62" s="30">
        <v>50</v>
      </c>
      <c r="B62" s="29" t="s">
        <v>170</v>
      </c>
      <c r="C62" s="63">
        <f t="shared" si="2"/>
        <v>2650.992724</v>
      </c>
      <c r="D62" s="63"/>
      <c r="E62" s="63">
        <v>2650.992724</v>
      </c>
      <c r="F62" s="63"/>
      <c r="G62" s="35">
        <f t="shared" si="3"/>
        <v>2650.992724</v>
      </c>
      <c r="H62" s="35"/>
      <c r="I62" s="35">
        <v>2650.992724</v>
      </c>
      <c r="J62" s="64"/>
      <c r="K62" s="64"/>
      <c r="L62" s="211"/>
      <c r="M62" s="65"/>
      <c r="N62" s="63">
        <f t="shared" si="4"/>
        <v>100</v>
      </c>
      <c r="O62" s="68"/>
    </row>
    <row r="63" spans="1:15" ht="18.75">
      <c r="A63" s="30">
        <v>51</v>
      </c>
      <c r="B63" s="29" t="s">
        <v>171</v>
      </c>
      <c r="C63" s="63">
        <f t="shared" si="2"/>
        <v>3426.029</v>
      </c>
      <c r="D63" s="63"/>
      <c r="E63" s="63">
        <v>3426.029</v>
      </c>
      <c r="F63" s="63"/>
      <c r="G63" s="35">
        <f t="shared" si="3"/>
        <v>3426.029</v>
      </c>
      <c r="H63" s="35"/>
      <c r="I63" s="35">
        <v>3076.029</v>
      </c>
      <c r="J63" s="64"/>
      <c r="K63" s="64"/>
      <c r="L63" s="211">
        <v>350</v>
      </c>
      <c r="M63" s="65"/>
      <c r="N63" s="63">
        <f t="shared" si="4"/>
        <v>89.7840911445875</v>
      </c>
      <c r="O63" s="68"/>
    </row>
    <row r="64" spans="1:15" ht="18.75">
      <c r="A64" s="30">
        <v>52</v>
      </c>
      <c r="B64" s="29" t="s">
        <v>172</v>
      </c>
      <c r="C64" s="63">
        <f t="shared" si="2"/>
        <v>4288.472465</v>
      </c>
      <c r="D64" s="63"/>
      <c r="E64" s="63">
        <v>4288.472465</v>
      </c>
      <c r="F64" s="63"/>
      <c r="G64" s="35">
        <f t="shared" si="3"/>
        <v>4285.214452</v>
      </c>
      <c r="H64" s="35"/>
      <c r="I64" s="35">
        <v>4285.214452</v>
      </c>
      <c r="J64" s="64"/>
      <c r="K64" s="64"/>
      <c r="L64" s="211"/>
      <c r="M64" s="65"/>
      <c r="N64" s="63">
        <f t="shared" si="4"/>
        <v>99.92402858997954</v>
      </c>
      <c r="O64" s="68"/>
    </row>
    <row r="65" spans="1:15" ht="18.75">
      <c r="A65" s="30">
        <v>53</v>
      </c>
      <c r="B65" s="29" t="s">
        <v>173</v>
      </c>
      <c r="C65" s="63">
        <f t="shared" si="2"/>
        <v>2971.824</v>
      </c>
      <c r="D65" s="63"/>
      <c r="E65" s="63">
        <v>2971.824</v>
      </c>
      <c r="F65" s="63"/>
      <c r="G65" s="35">
        <f t="shared" si="3"/>
        <v>2970.824</v>
      </c>
      <c r="H65" s="35"/>
      <c r="I65" s="35">
        <v>2970.824</v>
      </c>
      <c r="J65" s="64"/>
      <c r="K65" s="64"/>
      <c r="L65" s="211"/>
      <c r="M65" s="65"/>
      <c r="N65" s="63">
        <f t="shared" si="4"/>
        <v>99.96635063180054</v>
      </c>
      <c r="O65" s="68"/>
    </row>
    <row r="66" spans="1:15" ht="18.75">
      <c r="A66" s="30">
        <v>54</v>
      </c>
      <c r="B66" s="29" t="s">
        <v>174</v>
      </c>
      <c r="C66" s="63">
        <f t="shared" si="2"/>
        <v>2244.18426</v>
      </c>
      <c r="D66" s="63"/>
      <c r="E66" s="35">
        <v>2244.18426</v>
      </c>
      <c r="F66" s="63"/>
      <c r="G66" s="35">
        <f t="shared" si="3"/>
        <v>2244.18426</v>
      </c>
      <c r="H66" s="35"/>
      <c r="I66" s="35">
        <v>2244.18426</v>
      </c>
      <c r="J66" s="64"/>
      <c r="K66" s="64"/>
      <c r="L66" s="144"/>
      <c r="M66" s="65"/>
      <c r="N66" s="63">
        <f t="shared" si="4"/>
        <v>100</v>
      </c>
      <c r="O66" s="68"/>
    </row>
    <row r="67" spans="1:15" ht="18.75">
      <c r="A67" s="30">
        <v>55</v>
      </c>
      <c r="B67" s="29" t="s">
        <v>175</v>
      </c>
      <c r="C67" s="63">
        <f t="shared" si="2"/>
        <v>3066.34561</v>
      </c>
      <c r="D67" s="63"/>
      <c r="E67" s="63">
        <v>3066.34561</v>
      </c>
      <c r="F67" s="63"/>
      <c r="G67" s="35">
        <f t="shared" si="3"/>
        <v>3065.34561</v>
      </c>
      <c r="H67" s="35"/>
      <c r="I67" s="35">
        <v>3065.34561</v>
      </c>
      <c r="J67" s="64"/>
      <c r="K67" s="64"/>
      <c r="L67" s="211"/>
      <c r="M67" s="65"/>
      <c r="N67" s="63">
        <f t="shared" si="4"/>
        <v>99.96738789010806</v>
      </c>
      <c r="O67" s="68"/>
    </row>
    <row r="68" spans="1:15" ht="18.75">
      <c r="A68" s="30">
        <v>56</v>
      </c>
      <c r="B68" s="29" t="s">
        <v>176</v>
      </c>
      <c r="C68" s="63">
        <f t="shared" si="2"/>
        <v>2435.175</v>
      </c>
      <c r="D68" s="63"/>
      <c r="E68" s="63">
        <v>2435.175</v>
      </c>
      <c r="F68" s="63"/>
      <c r="G68" s="35">
        <f t="shared" si="3"/>
        <v>2435.175</v>
      </c>
      <c r="H68" s="35"/>
      <c r="I68" s="35">
        <v>2435.175</v>
      </c>
      <c r="J68" s="64"/>
      <c r="K68" s="64"/>
      <c r="L68" s="211"/>
      <c r="M68" s="65"/>
      <c r="N68" s="63">
        <f t="shared" si="4"/>
        <v>100</v>
      </c>
      <c r="O68" s="68"/>
    </row>
    <row r="69" spans="1:15" ht="18.75">
      <c r="A69" s="30">
        <v>57</v>
      </c>
      <c r="B69" s="29" t="s">
        <v>177</v>
      </c>
      <c r="C69" s="63">
        <f t="shared" si="2"/>
        <v>3262.37765</v>
      </c>
      <c r="D69" s="63"/>
      <c r="E69" s="63">
        <v>3262.37765</v>
      </c>
      <c r="F69" s="63"/>
      <c r="G69" s="35">
        <f t="shared" si="3"/>
        <v>3259.004971</v>
      </c>
      <c r="H69" s="35"/>
      <c r="I69" s="35">
        <v>3259.004971</v>
      </c>
      <c r="J69" s="64"/>
      <c r="K69" s="64"/>
      <c r="L69" s="211"/>
      <c r="M69" s="65"/>
      <c r="N69" s="63">
        <f t="shared" si="4"/>
        <v>99.89661898891443</v>
      </c>
      <c r="O69" s="68"/>
    </row>
    <row r="70" spans="1:15" ht="18.75">
      <c r="A70" s="30">
        <v>58</v>
      </c>
      <c r="B70" s="29" t="s">
        <v>178</v>
      </c>
      <c r="C70" s="63">
        <f t="shared" si="2"/>
        <v>2612.001261</v>
      </c>
      <c r="D70" s="63"/>
      <c r="E70" s="63">
        <v>2612.001261</v>
      </c>
      <c r="F70" s="63"/>
      <c r="G70" s="35">
        <f t="shared" si="3"/>
        <v>2611.000261</v>
      </c>
      <c r="H70" s="35"/>
      <c r="I70" s="35">
        <v>2611.000261</v>
      </c>
      <c r="J70" s="64"/>
      <c r="K70" s="64"/>
      <c r="L70" s="211"/>
      <c r="M70" s="65"/>
      <c r="N70" s="63">
        <f t="shared" si="4"/>
        <v>99.96167689445845</v>
      </c>
      <c r="O70" s="68"/>
    </row>
    <row r="71" spans="1:15" ht="18.75">
      <c r="A71" s="30">
        <v>59</v>
      </c>
      <c r="B71" s="29" t="s">
        <v>179</v>
      </c>
      <c r="C71" s="63">
        <f t="shared" si="2"/>
        <v>2012.3816100000001</v>
      </c>
      <c r="D71" s="63"/>
      <c r="E71" s="63">
        <f>1972.31661+40.065</f>
        <v>2012.3816100000001</v>
      </c>
      <c r="F71" s="63"/>
      <c r="G71" s="35">
        <f t="shared" si="3"/>
        <v>2012.3816100000001</v>
      </c>
      <c r="H71" s="35"/>
      <c r="I71" s="35">
        <f>1972.31661+40.065</f>
        <v>2012.3816100000001</v>
      </c>
      <c r="J71" s="64"/>
      <c r="K71" s="64"/>
      <c r="L71" s="211"/>
      <c r="M71" s="65"/>
      <c r="N71" s="63">
        <f t="shared" si="4"/>
        <v>100</v>
      </c>
      <c r="O71" s="68"/>
    </row>
    <row r="72" spans="1:15" ht="18.75">
      <c r="A72" s="30">
        <v>60</v>
      </c>
      <c r="B72" s="29" t="s">
        <v>180</v>
      </c>
      <c r="C72" s="63">
        <f t="shared" si="2"/>
        <v>1445.650922</v>
      </c>
      <c r="D72" s="63"/>
      <c r="E72" s="144">
        <f>1445650922/1000000</f>
        <v>1445.650922</v>
      </c>
      <c r="F72" s="63"/>
      <c r="G72" s="35">
        <f t="shared" si="3"/>
        <v>1445.650922</v>
      </c>
      <c r="H72" s="35"/>
      <c r="I72" s="144">
        <f>1445650922/1000000</f>
        <v>1445.650922</v>
      </c>
      <c r="J72" s="64"/>
      <c r="K72" s="64"/>
      <c r="L72" s="211"/>
      <c r="M72" s="65"/>
      <c r="N72" s="63">
        <f t="shared" si="4"/>
        <v>100</v>
      </c>
      <c r="O72" s="68"/>
    </row>
    <row r="73" spans="1:15" ht="18.75">
      <c r="A73" s="30">
        <v>61</v>
      </c>
      <c r="B73" s="29" t="s">
        <v>181</v>
      </c>
      <c r="C73" s="63">
        <f t="shared" si="2"/>
        <v>5011.622525</v>
      </c>
      <c r="D73" s="63"/>
      <c r="E73" s="144">
        <v>5011.622525</v>
      </c>
      <c r="F73" s="63"/>
      <c r="G73" s="35">
        <f t="shared" si="3"/>
        <v>5011.622525</v>
      </c>
      <c r="H73" s="35"/>
      <c r="I73" s="144">
        <v>5011.622525</v>
      </c>
      <c r="J73" s="64"/>
      <c r="K73" s="64"/>
      <c r="L73" s="211"/>
      <c r="M73" s="65"/>
      <c r="N73" s="63">
        <f t="shared" si="4"/>
        <v>100</v>
      </c>
      <c r="O73" s="68"/>
    </row>
    <row r="74" spans="1:15" ht="18.75">
      <c r="A74" s="30">
        <v>62</v>
      </c>
      <c r="B74" s="29" t="s">
        <v>182</v>
      </c>
      <c r="C74" s="63">
        <f t="shared" si="2"/>
        <v>3789.007788</v>
      </c>
      <c r="D74" s="63"/>
      <c r="E74" s="63">
        <v>3789.007788</v>
      </c>
      <c r="F74" s="63"/>
      <c r="G74" s="35">
        <f t="shared" si="3"/>
        <v>3789.007788</v>
      </c>
      <c r="H74" s="35"/>
      <c r="I74" s="35">
        <v>3789.007788</v>
      </c>
      <c r="J74" s="64"/>
      <c r="K74" s="64"/>
      <c r="L74" s="211"/>
      <c r="M74" s="65"/>
      <c r="N74" s="63">
        <f t="shared" si="4"/>
        <v>100</v>
      </c>
      <c r="O74" s="68"/>
    </row>
    <row r="75" spans="1:15" ht="18.75">
      <c r="A75" s="30">
        <v>63</v>
      </c>
      <c r="B75" s="29" t="s">
        <v>183</v>
      </c>
      <c r="C75" s="63">
        <f t="shared" si="2"/>
        <v>3982.64281</v>
      </c>
      <c r="D75" s="63"/>
      <c r="E75" s="63">
        <v>3982.64281</v>
      </c>
      <c r="F75" s="63"/>
      <c r="G75" s="35">
        <f t="shared" si="3"/>
        <v>3982.64281</v>
      </c>
      <c r="H75" s="35"/>
      <c r="I75" s="35">
        <v>3982.64281</v>
      </c>
      <c r="J75" s="64"/>
      <c r="K75" s="64"/>
      <c r="L75" s="211"/>
      <c r="M75" s="65"/>
      <c r="N75" s="63">
        <f t="shared" si="4"/>
        <v>100</v>
      </c>
      <c r="O75" s="68"/>
    </row>
    <row r="76" spans="1:15" ht="18.75">
      <c r="A76" s="30">
        <v>64</v>
      </c>
      <c r="B76" s="29" t="s">
        <v>184</v>
      </c>
      <c r="C76" s="63">
        <f t="shared" si="2"/>
        <v>5307.756453</v>
      </c>
      <c r="D76" s="63"/>
      <c r="E76" s="35">
        <v>5307.756453</v>
      </c>
      <c r="F76" s="63"/>
      <c r="G76" s="35">
        <f t="shared" si="3"/>
        <v>5307.034453</v>
      </c>
      <c r="H76" s="35"/>
      <c r="I76" s="35">
        <v>5307.034453</v>
      </c>
      <c r="J76" s="64"/>
      <c r="K76" s="64"/>
      <c r="L76" s="211"/>
      <c r="M76" s="65"/>
      <c r="N76" s="63">
        <f t="shared" si="4"/>
        <v>99.98639726584305</v>
      </c>
      <c r="O76" s="68"/>
    </row>
    <row r="77" spans="1:15" ht="18.75">
      <c r="A77" s="30">
        <v>65</v>
      </c>
      <c r="B77" s="29" t="s">
        <v>185</v>
      </c>
      <c r="C77" s="63">
        <f t="shared" si="2"/>
        <v>5822.92023</v>
      </c>
      <c r="D77" s="63"/>
      <c r="E77" s="63">
        <v>5822.92023</v>
      </c>
      <c r="F77" s="63"/>
      <c r="G77" s="35">
        <f t="shared" si="3"/>
        <v>5809.57323</v>
      </c>
      <c r="H77" s="35"/>
      <c r="I77" s="35">
        <v>5809.57323</v>
      </c>
      <c r="J77" s="64"/>
      <c r="K77" s="64"/>
      <c r="L77" s="211"/>
      <c r="M77" s="65"/>
      <c r="N77" s="63">
        <f t="shared" si="4"/>
        <v>99.7707851134344</v>
      </c>
      <c r="O77" s="68"/>
    </row>
    <row r="78" spans="1:15" ht="18.75">
      <c r="A78" s="30">
        <v>66</v>
      </c>
      <c r="B78" s="29" t="s">
        <v>186</v>
      </c>
      <c r="C78" s="63">
        <f aca="true" t="shared" si="5" ref="C78:C128">D78+E78+F78</f>
        <v>4054.38861</v>
      </c>
      <c r="D78" s="63"/>
      <c r="E78" s="35">
        <v>4054.38861</v>
      </c>
      <c r="F78" s="63"/>
      <c r="G78" s="35">
        <f aca="true" t="shared" si="6" ref="G78:G128">H78+I78+J78+K78+L78</f>
        <v>4054.38861</v>
      </c>
      <c r="H78" s="35"/>
      <c r="I78" s="35">
        <v>4054.38861</v>
      </c>
      <c r="J78" s="64"/>
      <c r="K78" s="64"/>
      <c r="L78" s="221"/>
      <c r="M78" s="65"/>
      <c r="N78" s="63">
        <f aca="true" t="shared" si="7" ref="N78:N128">I78/E78*100</f>
        <v>100</v>
      </c>
      <c r="O78" s="68"/>
    </row>
    <row r="79" spans="1:15" ht="18.75">
      <c r="A79" s="30">
        <v>67</v>
      </c>
      <c r="B79" s="29" t="s">
        <v>187</v>
      </c>
      <c r="C79" s="63">
        <f t="shared" si="5"/>
        <v>3277.91761</v>
      </c>
      <c r="D79" s="63"/>
      <c r="E79" s="35">
        <v>3277.91761</v>
      </c>
      <c r="F79" s="63"/>
      <c r="G79" s="35">
        <f t="shared" si="6"/>
        <v>3277.912798</v>
      </c>
      <c r="H79" s="35"/>
      <c r="I79" s="35">
        <v>3277.912798</v>
      </c>
      <c r="J79" s="64"/>
      <c r="K79" s="64"/>
      <c r="L79" s="221"/>
      <c r="M79" s="65"/>
      <c r="N79" s="63">
        <f t="shared" si="7"/>
        <v>99.99985319948294</v>
      </c>
      <c r="O79" s="68"/>
    </row>
    <row r="80" spans="1:15" ht="18.75">
      <c r="A80" s="30">
        <v>68</v>
      </c>
      <c r="B80" s="29" t="s">
        <v>188</v>
      </c>
      <c r="C80" s="63">
        <f t="shared" si="5"/>
        <v>4568.74961</v>
      </c>
      <c r="D80" s="63"/>
      <c r="E80" s="35">
        <v>4568.74961</v>
      </c>
      <c r="F80" s="63"/>
      <c r="G80" s="35">
        <f t="shared" si="6"/>
        <v>4567.94661</v>
      </c>
      <c r="H80" s="35"/>
      <c r="I80" s="35">
        <v>4567.94661</v>
      </c>
      <c r="J80" s="64"/>
      <c r="K80" s="64"/>
      <c r="L80" s="211"/>
      <c r="M80" s="65"/>
      <c r="N80" s="63">
        <f t="shared" si="7"/>
        <v>99.98242407510706</v>
      </c>
      <c r="O80" s="68"/>
    </row>
    <row r="81" spans="1:15" ht="18.75">
      <c r="A81" s="30">
        <v>69</v>
      </c>
      <c r="B81" s="29" t="s">
        <v>189</v>
      </c>
      <c r="C81" s="63">
        <f t="shared" si="5"/>
        <v>4054.43161</v>
      </c>
      <c r="D81" s="63">
        <v>130</v>
      </c>
      <c r="E81" s="63">
        <v>3924.43161</v>
      </c>
      <c r="F81" s="63"/>
      <c r="G81" s="35">
        <f t="shared" si="6"/>
        <v>4051.10401</v>
      </c>
      <c r="H81" s="63">
        <v>127.593</v>
      </c>
      <c r="I81" s="35">
        <v>3923.51101</v>
      </c>
      <c r="J81" s="64"/>
      <c r="K81" s="64"/>
      <c r="L81" s="211"/>
      <c r="M81" s="65"/>
      <c r="N81" s="63">
        <f t="shared" si="7"/>
        <v>99.9765418258875</v>
      </c>
      <c r="O81" s="68"/>
    </row>
    <row r="82" spans="1:15" ht="18.75">
      <c r="A82" s="30">
        <v>70</v>
      </c>
      <c r="B82" s="29" t="s">
        <v>190</v>
      </c>
      <c r="C82" s="63">
        <f t="shared" si="5"/>
        <v>3569.985</v>
      </c>
      <c r="D82" s="63"/>
      <c r="E82" s="63">
        <v>3569.985</v>
      </c>
      <c r="F82" s="63"/>
      <c r="G82" s="35">
        <f t="shared" si="6"/>
        <v>3568.584</v>
      </c>
      <c r="H82" s="35"/>
      <c r="I82" s="35">
        <v>3568.584</v>
      </c>
      <c r="J82" s="64"/>
      <c r="K82" s="64"/>
      <c r="L82" s="211"/>
      <c r="M82" s="65"/>
      <c r="N82" s="63">
        <f t="shared" si="7"/>
        <v>99.96075613763082</v>
      </c>
      <c r="O82" s="68"/>
    </row>
    <row r="83" spans="1:15" ht="18.75">
      <c r="A83" s="30">
        <v>71</v>
      </c>
      <c r="B83" s="29" t="s">
        <v>191</v>
      </c>
      <c r="C83" s="63">
        <f t="shared" si="5"/>
        <v>5181.669381</v>
      </c>
      <c r="D83" s="63"/>
      <c r="E83" s="63">
        <v>5181.669381</v>
      </c>
      <c r="F83" s="63"/>
      <c r="G83" s="35">
        <f t="shared" si="6"/>
        <v>5181.669381</v>
      </c>
      <c r="H83" s="35"/>
      <c r="I83" s="35">
        <v>5181.669381</v>
      </c>
      <c r="J83" s="64"/>
      <c r="K83" s="64"/>
      <c r="L83" s="211"/>
      <c r="M83" s="65"/>
      <c r="N83" s="63">
        <f t="shared" si="7"/>
        <v>100</v>
      </c>
      <c r="O83" s="68"/>
    </row>
    <row r="84" spans="1:15" ht="18.75">
      <c r="A84" s="30">
        <v>72</v>
      </c>
      <c r="B84" s="29" t="s">
        <v>192</v>
      </c>
      <c r="C84" s="63">
        <f t="shared" si="5"/>
        <v>4062.87222</v>
      </c>
      <c r="D84" s="63"/>
      <c r="E84" s="63">
        <v>4062.87222</v>
      </c>
      <c r="F84" s="63"/>
      <c r="G84" s="35">
        <f t="shared" si="6"/>
        <v>4058.496008</v>
      </c>
      <c r="H84" s="35"/>
      <c r="I84" s="35">
        <v>4041.475008</v>
      </c>
      <c r="J84" s="64"/>
      <c r="K84" s="64"/>
      <c r="L84" s="211">
        <v>17.021</v>
      </c>
      <c r="M84" s="65"/>
      <c r="N84" s="63">
        <f t="shared" si="7"/>
        <v>99.47334765059384</v>
      </c>
      <c r="O84" s="68"/>
    </row>
    <row r="85" spans="1:15" ht="18.75">
      <c r="A85" s="30">
        <v>73</v>
      </c>
      <c r="B85" s="29" t="s">
        <v>193</v>
      </c>
      <c r="C85" s="63">
        <f t="shared" si="5"/>
        <v>4693.44638</v>
      </c>
      <c r="D85" s="63"/>
      <c r="E85" s="63">
        <v>4693.44638</v>
      </c>
      <c r="F85" s="63"/>
      <c r="G85" s="35">
        <f t="shared" si="6"/>
        <v>4688.54038</v>
      </c>
      <c r="H85" s="35"/>
      <c r="I85" s="35">
        <v>4688.54038</v>
      </c>
      <c r="J85" s="64"/>
      <c r="K85" s="64"/>
      <c r="L85" s="211"/>
      <c r="M85" s="65"/>
      <c r="N85" s="63">
        <f t="shared" si="7"/>
        <v>99.89547126774674</v>
      </c>
      <c r="O85" s="68"/>
    </row>
    <row r="86" spans="1:15" ht="18.75">
      <c r="A86" s="158">
        <v>74</v>
      </c>
      <c r="B86" s="164" t="s">
        <v>194</v>
      </c>
      <c r="C86" s="76">
        <f t="shared" si="5"/>
        <v>4655.413</v>
      </c>
      <c r="D86" s="76"/>
      <c r="E86" s="76">
        <v>4655.413</v>
      </c>
      <c r="F86" s="76"/>
      <c r="G86" s="160">
        <f t="shared" si="6"/>
        <v>4652.484</v>
      </c>
      <c r="H86" s="160"/>
      <c r="I86" s="160">
        <v>4652.484</v>
      </c>
      <c r="J86" s="77"/>
      <c r="K86" s="77"/>
      <c r="L86" s="215"/>
      <c r="M86" s="161"/>
      <c r="N86" s="76">
        <f t="shared" si="7"/>
        <v>99.93708399233324</v>
      </c>
      <c r="O86" s="162"/>
    </row>
    <row r="87" spans="1:15" ht="18.75">
      <c r="A87" s="79">
        <v>75</v>
      </c>
      <c r="B87" s="166" t="s">
        <v>195</v>
      </c>
      <c r="C87" s="81">
        <f t="shared" si="5"/>
        <v>2849.19438</v>
      </c>
      <c r="D87" s="81"/>
      <c r="E87" s="81">
        <v>2849.19438</v>
      </c>
      <c r="F87" s="81"/>
      <c r="G87" s="82">
        <f t="shared" si="6"/>
        <v>2849.19288</v>
      </c>
      <c r="H87" s="82"/>
      <c r="I87" s="82">
        <v>2714.19288</v>
      </c>
      <c r="J87" s="83"/>
      <c r="K87" s="83"/>
      <c r="L87" s="218">
        <v>135</v>
      </c>
      <c r="M87" s="84"/>
      <c r="N87" s="81">
        <f t="shared" si="7"/>
        <v>95.2617658890651</v>
      </c>
      <c r="O87" s="163"/>
    </row>
    <row r="88" spans="1:15" ht="18.75">
      <c r="A88" s="30">
        <v>76</v>
      </c>
      <c r="B88" s="29" t="s">
        <v>196</v>
      </c>
      <c r="C88" s="63">
        <f t="shared" si="5"/>
        <v>2838.178066</v>
      </c>
      <c r="D88" s="63"/>
      <c r="E88" s="63">
        <v>2838.178066</v>
      </c>
      <c r="F88" s="63"/>
      <c r="G88" s="35">
        <f t="shared" si="6"/>
        <v>2838.178066</v>
      </c>
      <c r="H88" s="35"/>
      <c r="I88" s="149">
        <v>2838.178066</v>
      </c>
      <c r="J88" s="64"/>
      <c r="K88" s="64"/>
      <c r="L88" s="211"/>
      <c r="M88" s="65"/>
      <c r="N88" s="63">
        <f t="shared" si="7"/>
        <v>100</v>
      </c>
      <c r="O88" s="68"/>
    </row>
    <row r="89" spans="1:15" ht="18.75">
      <c r="A89" s="30">
        <v>77</v>
      </c>
      <c r="B89" s="29" t="s">
        <v>197</v>
      </c>
      <c r="C89" s="63">
        <f t="shared" si="5"/>
        <v>3775.264749</v>
      </c>
      <c r="D89" s="63"/>
      <c r="E89" s="149">
        <v>3775.264749</v>
      </c>
      <c r="F89" s="63"/>
      <c r="G89" s="35">
        <f t="shared" si="6"/>
        <v>3775.044749</v>
      </c>
      <c r="H89" s="35"/>
      <c r="I89" s="149">
        <v>3775.044749</v>
      </c>
      <c r="J89" s="64"/>
      <c r="K89" s="64"/>
      <c r="L89" s="211"/>
      <c r="M89" s="65"/>
      <c r="N89" s="63">
        <f t="shared" si="7"/>
        <v>99.99417259411918</v>
      </c>
      <c r="O89" s="68"/>
    </row>
    <row r="90" spans="1:15" ht="18.75">
      <c r="A90" s="30">
        <v>78</v>
      </c>
      <c r="B90" s="29" t="s">
        <v>198</v>
      </c>
      <c r="C90" s="63">
        <f t="shared" si="5"/>
        <v>2843.452069</v>
      </c>
      <c r="D90" s="63"/>
      <c r="E90" s="63">
        <v>2843.452069</v>
      </c>
      <c r="F90" s="63"/>
      <c r="G90" s="35">
        <f t="shared" si="6"/>
        <v>2843.257069</v>
      </c>
      <c r="H90" s="35"/>
      <c r="I90" s="149">
        <v>2843.257069</v>
      </c>
      <c r="J90" s="64"/>
      <c r="K90" s="64"/>
      <c r="L90" s="211"/>
      <c r="M90" s="65"/>
      <c r="N90" s="63">
        <f t="shared" si="7"/>
        <v>99.99314213866568</v>
      </c>
      <c r="O90" s="68"/>
    </row>
    <row r="91" spans="1:15" ht="18.75">
      <c r="A91" s="30">
        <v>79</v>
      </c>
      <c r="B91" s="29" t="s">
        <v>199</v>
      </c>
      <c r="C91" s="63">
        <f t="shared" si="5"/>
        <v>2036.60161</v>
      </c>
      <c r="D91" s="63"/>
      <c r="E91" s="63">
        <v>2036.60161</v>
      </c>
      <c r="F91" s="63"/>
      <c r="G91" s="35">
        <f t="shared" si="6"/>
        <v>2036.60161</v>
      </c>
      <c r="H91" s="35"/>
      <c r="I91" s="149">
        <v>2036.60161</v>
      </c>
      <c r="J91" s="64"/>
      <c r="K91" s="64"/>
      <c r="L91" s="211"/>
      <c r="M91" s="65"/>
      <c r="N91" s="63">
        <f t="shared" si="7"/>
        <v>100</v>
      </c>
      <c r="O91" s="68"/>
    </row>
    <row r="92" spans="1:15" ht="18.75">
      <c r="A92" s="30">
        <v>80</v>
      </c>
      <c r="B92" s="29" t="s">
        <v>200</v>
      </c>
      <c r="C92" s="63">
        <f t="shared" si="5"/>
        <v>3475.53361</v>
      </c>
      <c r="D92" s="63"/>
      <c r="E92" s="63">
        <v>3475.53361</v>
      </c>
      <c r="F92" s="63"/>
      <c r="G92" s="35">
        <f t="shared" si="6"/>
        <v>3475.53361</v>
      </c>
      <c r="H92" s="35"/>
      <c r="I92" s="149">
        <v>3475.53361</v>
      </c>
      <c r="J92" s="64"/>
      <c r="K92" s="64"/>
      <c r="L92" s="211"/>
      <c r="M92" s="65"/>
      <c r="N92" s="63">
        <f t="shared" si="7"/>
        <v>100</v>
      </c>
      <c r="O92" s="68"/>
    </row>
    <row r="93" spans="1:15" ht="18.75">
      <c r="A93" s="30">
        <v>81</v>
      </c>
      <c r="B93" s="29" t="s">
        <v>201</v>
      </c>
      <c r="C93" s="63">
        <f t="shared" si="5"/>
        <v>2704.0086499999998</v>
      </c>
      <c r="D93" s="63"/>
      <c r="E93" s="63">
        <v>2704.0086499999998</v>
      </c>
      <c r="F93" s="63"/>
      <c r="G93" s="35">
        <f t="shared" si="6"/>
        <v>2641.403477</v>
      </c>
      <c r="H93" s="35"/>
      <c r="I93" s="149">
        <v>2641.403477</v>
      </c>
      <c r="J93" s="64"/>
      <c r="K93" s="64"/>
      <c r="L93" s="211"/>
      <c r="M93" s="65"/>
      <c r="N93" s="63">
        <f t="shared" si="7"/>
        <v>97.684727339907</v>
      </c>
      <c r="O93" s="68"/>
    </row>
    <row r="94" spans="1:15" ht="18.75">
      <c r="A94" s="30">
        <v>82</v>
      </c>
      <c r="B94" s="29" t="s">
        <v>202</v>
      </c>
      <c r="C94" s="63">
        <f t="shared" si="5"/>
        <v>3776.275668</v>
      </c>
      <c r="D94" s="63"/>
      <c r="E94" s="63">
        <v>3776.275668</v>
      </c>
      <c r="F94" s="63"/>
      <c r="G94" s="35">
        <f t="shared" si="6"/>
        <v>3775.803468</v>
      </c>
      <c r="H94" s="35"/>
      <c r="I94" s="149">
        <v>3775.803468</v>
      </c>
      <c r="J94" s="64"/>
      <c r="K94" s="64"/>
      <c r="L94" s="211"/>
      <c r="M94" s="65"/>
      <c r="N94" s="63">
        <f t="shared" si="7"/>
        <v>99.98749561627606</v>
      </c>
      <c r="O94" s="68"/>
    </row>
    <row r="95" spans="1:15" ht="18.75">
      <c r="A95" s="30">
        <v>83</v>
      </c>
      <c r="B95" s="29" t="s">
        <v>203</v>
      </c>
      <c r="C95" s="63">
        <f t="shared" si="5"/>
        <v>4948.45465</v>
      </c>
      <c r="D95" s="63"/>
      <c r="E95" s="63">
        <v>4948.45465</v>
      </c>
      <c r="F95" s="63"/>
      <c r="G95" s="35">
        <f t="shared" si="6"/>
        <v>4944.75365</v>
      </c>
      <c r="H95" s="35"/>
      <c r="I95" s="149">
        <v>4944.75365</v>
      </c>
      <c r="J95" s="64"/>
      <c r="K95" s="64"/>
      <c r="L95" s="211"/>
      <c r="M95" s="65"/>
      <c r="N95" s="63">
        <f t="shared" si="7"/>
        <v>99.9252089740784</v>
      </c>
      <c r="O95" s="68"/>
    </row>
    <row r="96" spans="1:15" ht="18.75">
      <c r="A96" s="30">
        <v>84</v>
      </c>
      <c r="B96" s="29" t="s">
        <v>204</v>
      </c>
      <c r="C96" s="63">
        <f t="shared" si="5"/>
        <v>4125.58661</v>
      </c>
      <c r="D96" s="63"/>
      <c r="E96" s="63">
        <v>4125.58661</v>
      </c>
      <c r="F96" s="63"/>
      <c r="G96" s="35">
        <f t="shared" si="6"/>
        <v>4124.58511</v>
      </c>
      <c r="H96" s="35"/>
      <c r="I96" s="149">
        <v>4029.58511</v>
      </c>
      <c r="J96" s="64"/>
      <c r="K96" s="64"/>
      <c r="L96" s="211">
        <v>95</v>
      </c>
      <c r="M96" s="65"/>
      <c r="N96" s="63">
        <f t="shared" si="7"/>
        <v>97.67302182513143</v>
      </c>
      <c r="O96" s="68"/>
    </row>
    <row r="97" spans="1:15" ht="18.75">
      <c r="A97" s="30">
        <v>85</v>
      </c>
      <c r="B97" s="29" t="s">
        <v>205</v>
      </c>
      <c r="C97" s="63">
        <f t="shared" si="5"/>
        <v>3039.028127</v>
      </c>
      <c r="D97" s="63"/>
      <c r="E97" s="149">
        <v>3039.028127</v>
      </c>
      <c r="F97" s="63"/>
      <c r="G97" s="35">
        <f t="shared" si="6"/>
        <v>3032.972177</v>
      </c>
      <c r="H97" s="35"/>
      <c r="I97" s="149">
        <v>3032.972177</v>
      </c>
      <c r="J97" s="64"/>
      <c r="K97" s="64"/>
      <c r="L97" s="211"/>
      <c r="M97" s="65"/>
      <c r="N97" s="63">
        <f t="shared" si="7"/>
        <v>99.80072741195791</v>
      </c>
      <c r="O97" s="68"/>
    </row>
    <row r="98" spans="1:15" ht="18.75">
      <c r="A98" s="30">
        <v>86</v>
      </c>
      <c r="B98" s="29" t="s">
        <v>206</v>
      </c>
      <c r="C98" s="63">
        <f t="shared" si="5"/>
        <v>4382.947773</v>
      </c>
      <c r="D98" s="63"/>
      <c r="E98" s="149">
        <v>4382.947773</v>
      </c>
      <c r="F98" s="63"/>
      <c r="G98" s="35">
        <f t="shared" si="6"/>
        <v>4382.477773</v>
      </c>
      <c r="H98" s="35"/>
      <c r="I98" s="149">
        <v>4382.477773</v>
      </c>
      <c r="J98" s="64"/>
      <c r="K98" s="64"/>
      <c r="L98" s="211"/>
      <c r="M98" s="65"/>
      <c r="N98" s="63">
        <f t="shared" si="7"/>
        <v>99.989276623306</v>
      </c>
      <c r="O98" s="68"/>
    </row>
    <row r="99" spans="1:15" ht="18.75">
      <c r="A99" s="30">
        <v>87</v>
      </c>
      <c r="B99" s="29" t="s">
        <v>207</v>
      </c>
      <c r="C99" s="63">
        <f t="shared" si="5"/>
        <v>3397.144453</v>
      </c>
      <c r="D99" s="63"/>
      <c r="E99" s="149">
        <f>3350.102453+47.042</f>
        <v>3397.144453</v>
      </c>
      <c r="F99" s="63"/>
      <c r="G99" s="35">
        <f t="shared" si="6"/>
        <v>3396.154989</v>
      </c>
      <c r="H99" s="35"/>
      <c r="I99" s="149">
        <f>3349.112989+47.042</f>
        <v>3396.154989</v>
      </c>
      <c r="J99" s="64"/>
      <c r="K99" s="64"/>
      <c r="L99" s="211"/>
      <c r="M99" s="65"/>
      <c r="N99" s="63">
        <f t="shared" si="7"/>
        <v>99.97087365539826</v>
      </c>
      <c r="O99" s="68"/>
    </row>
    <row r="100" spans="1:15" ht="18.75">
      <c r="A100" s="30">
        <v>88</v>
      </c>
      <c r="B100" s="29" t="s">
        <v>208</v>
      </c>
      <c r="C100" s="63">
        <f t="shared" si="5"/>
        <v>3366.4441</v>
      </c>
      <c r="D100" s="63"/>
      <c r="E100" s="149">
        <v>3366.4441</v>
      </c>
      <c r="F100" s="63"/>
      <c r="G100" s="35">
        <f t="shared" si="6"/>
        <v>3366.444</v>
      </c>
      <c r="H100" s="35"/>
      <c r="I100" s="149">
        <v>3366.444</v>
      </c>
      <c r="J100" s="64"/>
      <c r="K100" s="64"/>
      <c r="L100" s="211"/>
      <c r="M100" s="65"/>
      <c r="N100" s="63">
        <f t="shared" si="7"/>
        <v>99.99999702950659</v>
      </c>
      <c r="O100" s="68"/>
    </row>
    <row r="101" spans="1:15" ht="18.75">
      <c r="A101" s="30">
        <v>89</v>
      </c>
      <c r="B101" s="29" t="s">
        <v>209</v>
      </c>
      <c r="C101" s="63">
        <f t="shared" si="5"/>
        <v>5053.80815</v>
      </c>
      <c r="D101" s="63"/>
      <c r="E101" s="149">
        <v>5053.80815</v>
      </c>
      <c r="F101" s="63"/>
      <c r="G101" s="35">
        <f t="shared" si="6"/>
        <v>5053.80815</v>
      </c>
      <c r="H101" s="35"/>
      <c r="I101" s="149">
        <v>5053.80815</v>
      </c>
      <c r="J101" s="64"/>
      <c r="K101" s="64"/>
      <c r="L101" s="211"/>
      <c r="M101" s="65"/>
      <c r="N101" s="63">
        <f t="shared" si="7"/>
        <v>100</v>
      </c>
      <c r="O101" s="68"/>
    </row>
    <row r="102" spans="1:15" ht="18.75">
      <c r="A102" s="30">
        <v>90</v>
      </c>
      <c r="B102" s="29" t="s">
        <v>210</v>
      </c>
      <c r="C102" s="63">
        <f t="shared" si="5"/>
        <v>2142.875</v>
      </c>
      <c r="D102" s="63"/>
      <c r="E102" s="149">
        <v>2142.875</v>
      </c>
      <c r="F102" s="63"/>
      <c r="G102" s="35">
        <f t="shared" si="6"/>
        <v>2142.875</v>
      </c>
      <c r="H102" s="35"/>
      <c r="I102" s="149">
        <v>2142.875</v>
      </c>
      <c r="J102" s="64"/>
      <c r="K102" s="64"/>
      <c r="L102" s="211"/>
      <c r="M102" s="65"/>
      <c r="N102" s="63">
        <f t="shared" si="7"/>
        <v>100</v>
      </c>
      <c r="O102" s="68"/>
    </row>
    <row r="103" spans="1:15" ht="18.75">
      <c r="A103" s="30">
        <v>91</v>
      </c>
      <c r="B103" s="29" t="s">
        <v>211</v>
      </c>
      <c r="C103" s="63">
        <f t="shared" si="5"/>
        <v>3697.33865</v>
      </c>
      <c r="D103" s="63"/>
      <c r="E103" s="149">
        <f>3559.88365+137.455</f>
        <v>3697.33865</v>
      </c>
      <c r="F103" s="63"/>
      <c r="G103" s="35">
        <f t="shared" si="6"/>
        <v>3697.33865</v>
      </c>
      <c r="H103" s="35"/>
      <c r="I103" s="149">
        <f>3559.88365+137.455</f>
        <v>3697.33865</v>
      </c>
      <c r="J103" s="64"/>
      <c r="K103" s="64"/>
      <c r="L103" s="211"/>
      <c r="M103" s="65"/>
      <c r="N103" s="66">
        <f t="shared" si="7"/>
        <v>100</v>
      </c>
      <c r="O103" s="68"/>
    </row>
    <row r="104" spans="1:15" ht="18.75">
      <c r="A104" s="30">
        <v>92</v>
      </c>
      <c r="B104" s="29" t="s">
        <v>212</v>
      </c>
      <c r="C104" s="63">
        <f t="shared" si="5"/>
        <v>3436.18</v>
      </c>
      <c r="D104" s="63"/>
      <c r="E104" s="63">
        <v>3436.18</v>
      </c>
      <c r="F104" s="63"/>
      <c r="G104" s="35">
        <f t="shared" si="6"/>
        <v>3436.056</v>
      </c>
      <c r="H104" s="35"/>
      <c r="I104" s="149">
        <v>3436.056</v>
      </c>
      <c r="J104" s="64"/>
      <c r="K104" s="64"/>
      <c r="L104" s="211"/>
      <c r="M104" s="65"/>
      <c r="N104" s="63">
        <f t="shared" si="7"/>
        <v>99.99639134154789</v>
      </c>
      <c r="O104" s="68"/>
    </row>
    <row r="105" spans="1:15" ht="18.75">
      <c r="A105" s="30">
        <v>93</v>
      </c>
      <c r="B105" s="29" t="s">
        <v>213</v>
      </c>
      <c r="C105" s="63">
        <f t="shared" si="5"/>
        <v>4544.96378</v>
      </c>
      <c r="D105" s="63"/>
      <c r="E105" s="63">
        <f>4493.62165+51.34213</f>
        <v>4544.96378</v>
      </c>
      <c r="F105" s="63"/>
      <c r="G105" s="35">
        <f t="shared" si="6"/>
        <v>4540.80378</v>
      </c>
      <c r="H105" s="35"/>
      <c r="I105" s="149">
        <f>4489.46165+51.34213</f>
        <v>4540.80378</v>
      </c>
      <c r="J105" s="64"/>
      <c r="K105" s="64"/>
      <c r="L105" s="211"/>
      <c r="M105" s="65"/>
      <c r="N105" s="63">
        <f t="shared" si="7"/>
        <v>99.90847011766506</v>
      </c>
      <c r="O105" s="68"/>
    </row>
    <row r="106" spans="1:15" ht="18.75">
      <c r="A106" s="30">
        <v>94</v>
      </c>
      <c r="B106" s="29" t="s">
        <v>214</v>
      </c>
      <c r="C106" s="63">
        <f t="shared" si="5"/>
        <v>6765.128829</v>
      </c>
      <c r="D106" s="63"/>
      <c r="E106" s="149">
        <f>6702.928829+62.2</f>
        <v>6765.128829</v>
      </c>
      <c r="F106" s="63"/>
      <c r="G106" s="35">
        <f t="shared" si="6"/>
        <v>6765.1258290000005</v>
      </c>
      <c r="H106" s="35"/>
      <c r="I106" s="149">
        <v>6702.928829</v>
      </c>
      <c r="J106" s="64"/>
      <c r="K106" s="64"/>
      <c r="L106" s="211">
        <f>33.79+10.4+18.007</f>
        <v>62.197</v>
      </c>
      <c r="M106" s="65"/>
      <c r="N106" s="66">
        <f t="shared" si="7"/>
        <v>99.08057922365991</v>
      </c>
      <c r="O106" s="68"/>
    </row>
    <row r="107" spans="1:15" ht="18.75">
      <c r="A107" s="30">
        <v>95</v>
      </c>
      <c r="B107" s="29" t="s">
        <v>215</v>
      </c>
      <c r="C107" s="63">
        <f t="shared" si="5"/>
        <v>2625.911</v>
      </c>
      <c r="D107" s="63"/>
      <c r="E107" s="63">
        <v>2625.911</v>
      </c>
      <c r="F107" s="63"/>
      <c r="G107" s="35">
        <f t="shared" si="6"/>
        <v>2625.911</v>
      </c>
      <c r="H107" s="35"/>
      <c r="I107" s="149">
        <v>2625.911</v>
      </c>
      <c r="J107" s="64"/>
      <c r="K107" s="64"/>
      <c r="L107" s="211"/>
      <c r="M107" s="65"/>
      <c r="N107" s="63">
        <f t="shared" si="7"/>
        <v>100</v>
      </c>
      <c r="O107" s="68"/>
    </row>
    <row r="108" spans="1:15" ht="18.75">
      <c r="A108" s="30">
        <v>96</v>
      </c>
      <c r="B108" s="33" t="s">
        <v>227</v>
      </c>
      <c r="C108" s="63">
        <f t="shared" si="5"/>
        <v>754.176</v>
      </c>
      <c r="D108" s="63"/>
      <c r="E108" s="212">
        <v>754.176</v>
      </c>
      <c r="F108" s="63"/>
      <c r="G108" s="35">
        <f t="shared" si="6"/>
        <v>745.176</v>
      </c>
      <c r="H108" s="35"/>
      <c r="I108" s="212">
        <v>745.176</v>
      </c>
      <c r="J108" s="64"/>
      <c r="K108" s="64"/>
      <c r="L108" s="211"/>
      <c r="M108" s="65"/>
      <c r="N108" s="66">
        <f t="shared" si="7"/>
        <v>98.80664460285132</v>
      </c>
      <c r="O108" s="68"/>
    </row>
    <row r="109" spans="1:15" ht="18.75">
      <c r="A109" s="30">
        <v>97</v>
      </c>
      <c r="B109" s="33" t="s">
        <v>228</v>
      </c>
      <c r="C109" s="63">
        <f t="shared" si="5"/>
        <v>146.296</v>
      </c>
      <c r="D109" s="63"/>
      <c r="E109" s="63">
        <v>146.296</v>
      </c>
      <c r="F109" s="63"/>
      <c r="G109" s="35">
        <f t="shared" si="6"/>
        <v>146.296</v>
      </c>
      <c r="H109" s="35"/>
      <c r="I109" s="63">
        <v>146.296</v>
      </c>
      <c r="J109" s="64"/>
      <c r="K109" s="64"/>
      <c r="L109" s="211"/>
      <c r="M109" s="65"/>
      <c r="N109" s="63">
        <f t="shared" si="7"/>
        <v>100</v>
      </c>
      <c r="O109" s="68"/>
    </row>
    <row r="110" spans="1:15" ht="18.75">
      <c r="A110" s="30">
        <v>98</v>
      </c>
      <c r="B110" s="33" t="s">
        <v>20</v>
      </c>
      <c r="C110" s="63">
        <f t="shared" si="5"/>
        <v>575.073</v>
      </c>
      <c r="D110" s="63">
        <v>35.447</v>
      </c>
      <c r="E110" s="63">
        <v>539.626</v>
      </c>
      <c r="F110" s="63"/>
      <c r="G110" s="35">
        <f t="shared" si="6"/>
        <v>575.073</v>
      </c>
      <c r="H110" s="63">
        <v>35.447</v>
      </c>
      <c r="I110" s="63">
        <v>539.626</v>
      </c>
      <c r="J110" s="64"/>
      <c r="K110" s="64"/>
      <c r="L110" s="211"/>
      <c r="M110" s="65"/>
      <c r="N110" s="63">
        <f t="shared" si="7"/>
        <v>100</v>
      </c>
      <c r="O110" s="68"/>
    </row>
    <row r="111" spans="1:15" ht="18.75">
      <c r="A111" s="30">
        <v>99</v>
      </c>
      <c r="B111" s="33" t="s">
        <v>0</v>
      </c>
      <c r="C111" s="63">
        <f t="shared" si="5"/>
        <v>10456.213078</v>
      </c>
      <c r="D111" s="146">
        <f>7268.146078+2809.5</f>
        <v>10077.646078</v>
      </c>
      <c r="E111" s="224">
        <f>303.397+75.17</f>
        <v>378.567</v>
      </c>
      <c r="F111" s="146"/>
      <c r="G111" s="35">
        <f t="shared" si="6"/>
        <v>10201.108250000001</v>
      </c>
      <c r="H111" s="149">
        <v>7725.75</v>
      </c>
      <c r="I111" s="224">
        <f>303.397+75.17</f>
        <v>378.567</v>
      </c>
      <c r="J111" s="64"/>
      <c r="K111" s="64"/>
      <c r="L111" s="211">
        <v>2096.79125</v>
      </c>
      <c r="M111" s="65">
        <f>H111/D111*100</f>
        <v>76.6622477134387</v>
      </c>
      <c r="N111" s="63">
        <f t="shared" si="7"/>
        <v>100</v>
      </c>
      <c r="O111" s="68"/>
    </row>
    <row r="112" spans="1:15" ht="18.75">
      <c r="A112" s="30">
        <v>100</v>
      </c>
      <c r="B112" s="33" t="s">
        <v>1</v>
      </c>
      <c r="C112" s="63">
        <f t="shared" si="5"/>
        <v>37996.5296</v>
      </c>
      <c r="D112" s="63"/>
      <c r="E112" s="146">
        <f>37732.5296+264</f>
        <v>37996.5296</v>
      </c>
      <c r="F112" s="63"/>
      <c r="G112" s="35">
        <f t="shared" si="6"/>
        <v>37996.5296</v>
      </c>
      <c r="H112" s="35"/>
      <c r="I112" s="225">
        <f>37732.5296+264</f>
        <v>37996.5296</v>
      </c>
      <c r="J112" s="64"/>
      <c r="K112" s="64"/>
      <c r="L112" s="211"/>
      <c r="M112" s="65"/>
      <c r="N112" s="63">
        <f t="shared" si="7"/>
        <v>100</v>
      </c>
      <c r="O112" s="68"/>
    </row>
    <row r="113" spans="1:15" ht="25.5">
      <c r="A113" s="30">
        <v>101</v>
      </c>
      <c r="B113" s="33" t="s">
        <v>252</v>
      </c>
      <c r="C113" s="63">
        <f t="shared" si="5"/>
        <v>1364.541</v>
      </c>
      <c r="D113" s="63"/>
      <c r="E113" s="149">
        <f>1352.041+12.5</f>
        <v>1364.541</v>
      </c>
      <c r="F113" s="63"/>
      <c r="G113" s="35">
        <f t="shared" si="6"/>
        <v>1364.541</v>
      </c>
      <c r="H113" s="35"/>
      <c r="I113" s="149">
        <v>1352.041</v>
      </c>
      <c r="J113" s="64"/>
      <c r="K113" s="64"/>
      <c r="L113" s="211">
        <v>12.5</v>
      </c>
      <c r="M113" s="65"/>
      <c r="N113" s="63">
        <f t="shared" si="7"/>
        <v>99.08394104684287</v>
      </c>
      <c r="O113" s="68"/>
    </row>
    <row r="114" spans="1:15" ht="18.75">
      <c r="A114" s="158">
        <v>102</v>
      </c>
      <c r="B114" s="275" t="s">
        <v>2</v>
      </c>
      <c r="C114" s="76">
        <f t="shared" si="5"/>
        <v>50983.454876</v>
      </c>
      <c r="D114" s="76">
        <f>16348.096874+259.915+1185.102349</f>
        <v>17793.114223</v>
      </c>
      <c r="E114" s="165">
        <v>8984.524000000001</v>
      </c>
      <c r="F114" s="165">
        <v>24205.816653</v>
      </c>
      <c r="G114" s="160">
        <f>H114+I114+J114+K114+L114</f>
        <v>50610.785581000004</v>
      </c>
      <c r="H114" s="160">
        <v>15861.499438</v>
      </c>
      <c r="I114" s="165">
        <f>8983.266-22.9</f>
        <v>8960.366</v>
      </c>
      <c r="J114" s="160">
        <f>20016.102177+22.304</f>
        <v>20038.406177</v>
      </c>
      <c r="K114" s="77"/>
      <c r="L114" s="276">
        <v>5750.5139659999995</v>
      </c>
      <c r="M114" s="161">
        <f>H114/D114*100</f>
        <v>89.14403200703828</v>
      </c>
      <c r="N114" s="76">
        <f t="shared" si="7"/>
        <v>99.73111541579719</v>
      </c>
      <c r="O114" s="161">
        <f>(J114+K114)/F114*100</f>
        <v>82.78343368562405</v>
      </c>
    </row>
    <row r="115" spans="1:15" ht="30" customHeight="1">
      <c r="A115" s="277" t="s">
        <v>14</v>
      </c>
      <c r="B115" s="278" t="s">
        <v>3</v>
      </c>
      <c r="C115" s="279">
        <f aca="true" t="shared" si="8" ref="C115:O115">SUM(C116:C128)</f>
        <v>1441.7</v>
      </c>
      <c r="D115" s="279">
        <f t="shared" si="8"/>
        <v>0</v>
      </c>
      <c r="E115" s="279">
        <f t="shared" si="8"/>
        <v>1441.7</v>
      </c>
      <c r="F115" s="279">
        <f t="shared" si="8"/>
        <v>0</v>
      </c>
      <c r="G115" s="279">
        <f t="shared" si="6"/>
        <v>1441.7</v>
      </c>
      <c r="H115" s="279">
        <f t="shared" si="8"/>
        <v>0</v>
      </c>
      <c r="I115" s="279">
        <f t="shared" si="8"/>
        <v>1441.7</v>
      </c>
      <c r="J115" s="279">
        <f t="shared" si="8"/>
        <v>0</v>
      </c>
      <c r="K115" s="279">
        <f t="shared" si="8"/>
        <v>0</v>
      </c>
      <c r="L115" s="279">
        <f t="shared" si="8"/>
        <v>0</v>
      </c>
      <c r="M115" s="279">
        <f t="shared" si="8"/>
        <v>0</v>
      </c>
      <c r="N115" s="279">
        <f t="shared" si="7"/>
        <v>100</v>
      </c>
      <c r="O115" s="279">
        <f t="shared" si="8"/>
        <v>0</v>
      </c>
    </row>
    <row r="116" spans="1:15" ht="18.75">
      <c r="A116" s="32">
        <v>1</v>
      </c>
      <c r="B116" s="33" t="s">
        <v>319</v>
      </c>
      <c r="C116" s="66">
        <f t="shared" si="5"/>
        <v>40</v>
      </c>
      <c r="D116" s="63"/>
      <c r="E116" s="66">
        <v>40</v>
      </c>
      <c r="F116" s="66"/>
      <c r="G116" s="35">
        <f t="shared" si="6"/>
        <v>40</v>
      </c>
      <c r="H116" s="69"/>
      <c r="I116" s="150">
        <v>40</v>
      </c>
      <c r="J116" s="64"/>
      <c r="K116" s="64"/>
      <c r="L116" s="64"/>
      <c r="M116" s="64"/>
      <c r="N116" s="63">
        <f t="shared" si="7"/>
        <v>100</v>
      </c>
      <c r="O116" s="64"/>
    </row>
    <row r="117" spans="1:15" ht="18.75">
      <c r="A117" s="32">
        <v>2</v>
      </c>
      <c r="B117" s="33" t="s">
        <v>4</v>
      </c>
      <c r="C117" s="66">
        <f t="shared" si="5"/>
        <v>27</v>
      </c>
      <c r="D117" s="63"/>
      <c r="E117" s="66">
        <v>27</v>
      </c>
      <c r="F117" s="66"/>
      <c r="G117" s="35">
        <f t="shared" si="6"/>
        <v>27</v>
      </c>
      <c r="H117" s="69"/>
      <c r="I117" s="150">
        <v>27</v>
      </c>
      <c r="J117" s="64"/>
      <c r="K117" s="64"/>
      <c r="L117" s="64"/>
      <c r="M117" s="64"/>
      <c r="N117" s="63">
        <f t="shared" si="7"/>
        <v>100</v>
      </c>
      <c r="O117" s="64"/>
    </row>
    <row r="118" spans="1:15" ht="18.75">
      <c r="A118" s="32">
        <v>3</v>
      </c>
      <c r="B118" s="33" t="s">
        <v>5</v>
      </c>
      <c r="C118" s="66">
        <f t="shared" si="5"/>
        <v>7.5</v>
      </c>
      <c r="D118" s="63"/>
      <c r="E118" s="66">
        <v>7.5</v>
      </c>
      <c r="F118" s="66"/>
      <c r="G118" s="35">
        <f t="shared" si="6"/>
        <v>7.5</v>
      </c>
      <c r="H118" s="69"/>
      <c r="I118" s="151">
        <v>7.5</v>
      </c>
      <c r="J118" s="64"/>
      <c r="K118" s="64"/>
      <c r="L118" s="64"/>
      <c r="M118" s="64"/>
      <c r="N118" s="63">
        <f t="shared" si="7"/>
        <v>100</v>
      </c>
      <c r="O118" s="64"/>
    </row>
    <row r="119" spans="1:15" ht="18.75">
      <c r="A119" s="32">
        <v>4</v>
      </c>
      <c r="B119" s="33" t="s">
        <v>6</v>
      </c>
      <c r="C119" s="66">
        <f t="shared" si="5"/>
        <v>37</v>
      </c>
      <c r="D119" s="63"/>
      <c r="E119" s="69">
        <v>37</v>
      </c>
      <c r="F119" s="66"/>
      <c r="G119" s="35">
        <f t="shared" si="6"/>
        <v>37</v>
      </c>
      <c r="H119" s="69"/>
      <c r="I119" s="150">
        <v>37</v>
      </c>
      <c r="J119" s="64"/>
      <c r="K119" s="64"/>
      <c r="L119" s="64"/>
      <c r="M119" s="64"/>
      <c r="N119" s="63">
        <f t="shared" si="7"/>
        <v>100</v>
      </c>
      <c r="O119" s="64"/>
    </row>
    <row r="120" spans="1:15" ht="18.75">
      <c r="A120" s="32">
        <v>5</v>
      </c>
      <c r="B120" s="31" t="s">
        <v>7</v>
      </c>
      <c r="C120" s="66">
        <f t="shared" si="5"/>
        <v>140.5</v>
      </c>
      <c r="D120" s="63"/>
      <c r="E120" s="69">
        <v>140.5</v>
      </c>
      <c r="F120" s="66"/>
      <c r="G120" s="35">
        <f t="shared" si="6"/>
        <v>140.5</v>
      </c>
      <c r="H120" s="69"/>
      <c r="I120" s="150">
        <v>140.5</v>
      </c>
      <c r="J120" s="64"/>
      <c r="K120" s="64"/>
      <c r="L120" s="64"/>
      <c r="M120" s="64"/>
      <c r="N120" s="63">
        <f t="shared" si="7"/>
        <v>100</v>
      </c>
      <c r="O120" s="64"/>
    </row>
    <row r="121" spans="1:15" ht="18.75">
      <c r="A121" s="32">
        <v>6</v>
      </c>
      <c r="B121" s="226" t="s">
        <v>8</v>
      </c>
      <c r="C121" s="211">
        <f t="shared" si="5"/>
        <v>70</v>
      </c>
      <c r="D121" s="63"/>
      <c r="E121" s="66">
        <v>70</v>
      </c>
      <c r="F121" s="66"/>
      <c r="G121" s="35">
        <f t="shared" si="6"/>
        <v>70</v>
      </c>
      <c r="H121" s="69"/>
      <c r="I121" s="69">
        <v>70</v>
      </c>
      <c r="J121" s="64"/>
      <c r="K121" s="64"/>
      <c r="L121" s="64"/>
      <c r="M121" s="64"/>
      <c r="N121" s="63">
        <f t="shared" si="7"/>
        <v>100</v>
      </c>
      <c r="O121" s="64"/>
    </row>
    <row r="122" spans="1:15" ht="18.75">
      <c r="A122" s="32">
        <v>7</v>
      </c>
      <c r="B122" s="31" t="s">
        <v>9</v>
      </c>
      <c r="C122" s="66">
        <f t="shared" si="5"/>
        <v>80</v>
      </c>
      <c r="D122" s="63"/>
      <c r="E122" s="66">
        <v>80</v>
      </c>
      <c r="F122" s="66"/>
      <c r="G122" s="35">
        <f t="shared" si="6"/>
        <v>80</v>
      </c>
      <c r="H122" s="69"/>
      <c r="I122" s="69">
        <v>80</v>
      </c>
      <c r="J122" s="64"/>
      <c r="K122" s="64"/>
      <c r="L122" s="64"/>
      <c r="M122" s="64"/>
      <c r="N122" s="63">
        <f t="shared" si="7"/>
        <v>100</v>
      </c>
      <c r="O122" s="64"/>
    </row>
    <row r="123" spans="1:15" ht="18.75">
      <c r="A123" s="32">
        <v>8</v>
      </c>
      <c r="B123" s="226" t="s">
        <v>10</v>
      </c>
      <c r="C123" s="211">
        <f t="shared" si="5"/>
        <v>75</v>
      </c>
      <c r="D123" s="63"/>
      <c r="E123" s="66">
        <v>75</v>
      </c>
      <c r="F123" s="66"/>
      <c r="G123" s="35">
        <f t="shared" si="6"/>
        <v>75</v>
      </c>
      <c r="H123" s="69"/>
      <c r="I123" s="69">
        <v>75</v>
      </c>
      <c r="J123" s="64"/>
      <c r="K123" s="64"/>
      <c r="L123" s="64"/>
      <c r="M123" s="64"/>
      <c r="N123" s="63">
        <f t="shared" si="7"/>
        <v>100</v>
      </c>
      <c r="O123" s="64"/>
    </row>
    <row r="124" spans="1:15" ht="18.75">
      <c r="A124" s="32">
        <v>9</v>
      </c>
      <c r="B124" s="31" t="s">
        <v>11</v>
      </c>
      <c r="C124" s="66">
        <f t="shared" si="5"/>
        <v>244.2</v>
      </c>
      <c r="D124" s="63"/>
      <c r="E124" s="66">
        <v>244.2</v>
      </c>
      <c r="F124" s="66"/>
      <c r="G124" s="35">
        <f t="shared" si="6"/>
        <v>244.2</v>
      </c>
      <c r="H124" s="69"/>
      <c r="I124" s="69">
        <v>244.2</v>
      </c>
      <c r="J124" s="64"/>
      <c r="K124" s="64"/>
      <c r="L124" s="64"/>
      <c r="M124" s="64"/>
      <c r="N124" s="63">
        <f t="shared" si="7"/>
        <v>100</v>
      </c>
      <c r="O124" s="64"/>
    </row>
    <row r="125" spans="1:15" ht="18.75">
      <c r="A125" s="32">
        <v>10</v>
      </c>
      <c r="B125" s="31" t="s">
        <v>256</v>
      </c>
      <c r="C125" s="66">
        <f t="shared" si="5"/>
        <v>235.5</v>
      </c>
      <c r="D125" s="63"/>
      <c r="E125" s="66">
        <v>235.5</v>
      </c>
      <c r="F125" s="66"/>
      <c r="G125" s="35">
        <f t="shared" si="6"/>
        <v>235.5</v>
      </c>
      <c r="H125" s="69"/>
      <c r="I125" s="69">
        <v>235.5</v>
      </c>
      <c r="J125" s="64"/>
      <c r="K125" s="64"/>
      <c r="L125" s="64"/>
      <c r="M125" s="64"/>
      <c r="N125" s="63">
        <f t="shared" si="7"/>
        <v>100</v>
      </c>
      <c r="O125" s="64"/>
    </row>
    <row r="126" spans="1:15" ht="18.75">
      <c r="A126" s="32">
        <v>11</v>
      </c>
      <c r="B126" s="31" t="s">
        <v>253</v>
      </c>
      <c r="C126" s="66">
        <f t="shared" si="5"/>
        <v>20</v>
      </c>
      <c r="D126" s="63"/>
      <c r="E126" s="227">
        <v>20</v>
      </c>
      <c r="F126" s="66"/>
      <c r="G126" s="35">
        <f t="shared" si="6"/>
        <v>20</v>
      </c>
      <c r="H126" s="69"/>
      <c r="I126" s="69">
        <v>20</v>
      </c>
      <c r="J126" s="64"/>
      <c r="K126" s="64"/>
      <c r="L126" s="64"/>
      <c r="M126" s="64"/>
      <c r="N126" s="63">
        <f t="shared" si="7"/>
        <v>100</v>
      </c>
      <c r="O126" s="64"/>
    </row>
    <row r="127" spans="1:15" ht="21.75" customHeight="1">
      <c r="A127" s="32">
        <v>12</v>
      </c>
      <c r="B127" s="31" t="s">
        <v>255</v>
      </c>
      <c r="C127" s="66">
        <f t="shared" si="5"/>
        <v>15</v>
      </c>
      <c r="D127" s="63"/>
      <c r="E127" s="227">
        <v>15</v>
      </c>
      <c r="F127" s="66"/>
      <c r="G127" s="35">
        <f t="shared" si="6"/>
        <v>15</v>
      </c>
      <c r="H127" s="69"/>
      <c r="I127" s="69">
        <v>15</v>
      </c>
      <c r="J127" s="64"/>
      <c r="K127" s="64"/>
      <c r="L127" s="64"/>
      <c r="M127" s="64"/>
      <c r="N127" s="63">
        <f t="shared" si="7"/>
        <v>100</v>
      </c>
      <c r="O127" s="64"/>
    </row>
    <row r="128" spans="1:15" ht="18.75">
      <c r="A128" s="167">
        <v>13</v>
      </c>
      <c r="B128" s="86" t="s">
        <v>27</v>
      </c>
      <c r="C128" s="78">
        <f t="shared" si="5"/>
        <v>450</v>
      </c>
      <c r="D128" s="76"/>
      <c r="E128" s="78">
        <v>450</v>
      </c>
      <c r="F128" s="78"/>
      <c r="G128" s="160">
        <f t="shared" si="6"/>
        <v>450</v>
      </c>
      <c r="H128" s="85"/>
      <c r="I128" s="85">
        <v>450</v>
      </c>
      <c r="J128" s="77"/>
      <c r="K128" s="77"/>
      <c r="L128" s="77"/>
      <c r="M128" s="77"/>
      <c r="N128" s="76">
        <f t="shared" si="7"/>
        <v>100</v>
      </c>
      <c r="O128" s="77"/>
    </row>
    <row r="129" spans="1:2" ht="12.75" customHeight="1">
      <c r="A129" s="34"/>
      <c r="B129" s="34"/>
    </row>
    <row r="130" spans="1:15" ht="18.75">
      <c r="A130" s="312"/>
      <c r="B130" s="312"/>
      <c r="C130" s="312"/>
      <c r="D130" s="9"/>
      <c r="E130" s="9"/>
      <c r="F130" s="9"/>
      <c r="G130" s="9"/>
      <c r="H130" s="9"/>
      <c r="I130" s="325"/>
      <c r="J130" s="325"/>
      <c r="K130" s="325"/>
      <c r="L130" s="325"/>
      <c r="M130" s="325"/>
      <c r="N130" s="325"/>
      <c r="O130" s="325"/>
    </row>
    <row r="131" spans="1:15" ht="18.75">
      <c r="A131" s="312"/>
      <c r="B131" s="312"/>
      <c r="C131" s="312"/>
      <c r="D131" s="9"/>
      <c r="E131" s="9"/>
      <c r="F131" s="9"/>
      <c r="G131" s="9"/>
      <c r="H131" s="9"/>
      <c r="I131" s="326"/>
      <c r="J131" s="326"/>
      <c r="K131" s="326"/>
      <c r="L131" s="326"/>
      <c r="M131" s="326"/>
      <c r="N131" s="326"/>
      <c r="O131" s="326"/>
    </row>
    <row r="132" spans="2:15" ht="15.75">
      <c r="B132" s="10"/>
      <c r="I132" s="326"/>
      <c r="J132" s="326"/>
      <c r="K132" s="326"/>
      <c r="L132" s="326"/>
      <c r="M132" s="326"/>
      <c r="N132" s="326"/>
      <c r="O132" s="326"/>
    </row>
    <row r="133" ht="9.75" customHeight="1">
      <c r="B133" s="2"/>
    </row>
    <row r="134" ht="15.75">
      <c r="B134" s="2"/>
    </row>
    <row r="135" ht="15.75">
      <c r="B135" s="2"/>
    </row>
    <row r="136" spans="1:15" ht="12" customHeight="1">
      <c r="A136" s="310"/>
      <c r="B136" s="310"/>
      <c r="C136" s="31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9:15" ht="18.75">
      <c r="I137" s="310"/>
      <c r="J137" s="310"/>
      <c r="K137" s="310"/>
      <c r="L137" s="310"/>
      <c r="M137" s="310"/>
      <c r="N137" s="310"/>
      <c r="O137" s="310"/>
    </row>
  </sheetData>
  <sheetProtection/>
  <mergeCells count="29">
    <mergeCell ref="A136:C136"/>
    <mergeCell ref="I137:O137"/>
    <mergeCell ref="A130:C130"/>
    <mergeCell ref="F8:F9"/>
    <mergeCell ref="L6:O6"/>
    <mergeCell ref="I130:O130"/>
    <mergeCell ref="A131:C131"/>
    <mergeCell ref="I131:O131"/>
    <mergeCell ref="I132:O132"/>
    <mergeCell ref="H8:H9"/>
    <mergeCell ref="I8:I9"/>
    <mergeCell ref="M2:O2"/>
    <mergeCell ref="A4:O4"/>
    <mergeCell ref="A5:O5"/>
    <mergeCell ref="J8:K8"/>
    <mergeCell ref="G7:L7"/>
    <mergeCell ref="L8:L9"/>
    <mergeCell ref="D8:D9"/>
    <mergeCell ref="E8:E9"/>
    <mergeCell ref="L1:O1"/>
    <mergeCell ref="C7:F7"/>
    <mergeCell ref="M7:O7"/>
    <mergeCell ref="A7:A9"/>
    <mergeCell ref="B7:B9"/>
    <mergeCell ref="C8:C9"/>
    <mergeCell ref="M8:M9"/>
    <mergeCell ref="N8:N9"/>
    <mergeCell ref="O8:O9"/>
    <mergeCell ref="G8:G9"/>
  </mergeCells>
  <printOptions/>
  <pageMargins left="0" right="0" top="0.5" bottom="0.5" header="0.32" footer="0.5"/>
  <pageSetup horizontalDpi="600" verticalDpi="600" orientation="landscape" r:id="rId2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I9" sqref="I9:I10"/>
    </sheetView>
  </sheetViews>
  <sheetFormatPr defaultColWidth="8.796875" defaultRowHeight="15"/>
  <cols>
    <col min="1" max="1" width="3.59765625" style="0" customWidth="1"/>
    <col min="2" max="2" width="15" style="0" customWidth="1"/>
    <col min="3" max="3" width="7.19921875" style="0" customWidth="1"/>
    <col min="4" max="4" width="6.59765625" style="0" customWidth="1"/>
    <col min="5" max="5" width="6.19921875" style="0" customWidth="1"/>
    <col min="6" max="6" width="5.3984375" style="0" customWidth="1"/>
    <col min="7" max="7" width="6.8984375" style="0" customWidth="1"/>
    <col min="8" max="8" width="5.3984375" style="0" customWidth="1"/>
    <col min="9" max="9" width="8.09765625" style="0" customWidth="1"/>
    <col min="10" max="10" width="6.59765625" style="0" customWidth="1"/>
    <col min="11" max="11" width="6.69921875" style="0" customWidth="1"/>
    <col min="12" max="12" width="5.59765625" style="0" customWidth="1"/>
    <col min="13" max="13" width="6.69921875" style="0" customWidth="1"/>
    <col min="14" max="14" width="5.8984375" style="0" customWidth="1"/>
    <col min="15" max="15" width="6.59765625" style="0" customWidth="1"/>
    <col min="16" max="16" width="6" style="0" customWidth="1"/>
    <col min="17" max="17" width="7.59765625" style="0" customWidth="1"/>
    <col min="18" max="18" width="5.59765625" style="0" customWidth="1"/>
    <col min="19" max="19" width="7.3984375" style="0" customWidth="1"/>
    <col min="20" max="20" width="5.59765625" style="0" customWidth="1"/>
  </cols>
  <sheetData>
    <row r="1" spans="1:20" ht="15.75">
      <c r="A1" s="2" t="s">
        <v>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309" t="s">
        <v>293</v>
      </c>
      <c r="R1" s="309"/>
      <c r="S1" s="309"/>
      <c r="T1" s="309"/>
    </row>
    <row r="2" spans="1:20" ht="15.75">
      <c r="A2" s="4" t="s">
        <v>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15.75">
      <c r="A3" s="4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1:20" ht="15.75">
      <c r="A4" s="309" t="s">
        <v>257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20" ht="18.75">
      <c r="A5" s="311" t="s">
        <v>324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</row>
    <row r="6" spans="1:20" ht="15.7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30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28" t="s">
        <v>258</v>
      </c>
      <c r="R7" s="328"/>
      <c r="S7" s="328"/>
      <c r="T7" s="328"/>
    </row>
    <row r="8" spans="1:20" ht="15">
      <c r="A8" s="327" t="s">
        <v>12</v>
      </c>
      <c r="B8" s="327" t="s">
        <v>259</v>
      </c>
      <c r="C8" s="327" t="s">
        <v>36</v>
      </c>
      <c r="D8" s="327"/>
      <c r="E8" s="327"/>
      <c r="F8" s="327"/>
      <c r="G8" s="327"/>
      <c r="H8" s="327"/>
      <c r="I8" s="327" t="s">
        <v>37</v>
      </c>
      <c r="J8" s="327"/>
      <c r="K8" s="327"/>
      <c r="L8" s="327"/>
      <c r="M8" s="327"/>
      <c r="N8" s="327"/>
      <c r="O8" s="327" t="s">
        <v>38</v>
      </c>
      <c r="P8" s="327"/>
      <c r="Q8" s="327"/>
      <c r="R8" s="327"/>
      <c r="S8" s="327"/>
      <c r="T8" s="327"/>
    </row>
    <row r="9" spans="1:20" ht="15">
      <c r="A9" s="327"/>
      <c r="B9" s="327"/>
      <c r="C9" s="327" t="s">
        <v>149</v>
      </c>
      <c r="D9" s="327" t="s">
        <v>260</v>
      </c>
      <c r="E9" s="327" t="s">
        <v>261</v>
      </c>
      <c r="F9" s="327"/>
      <c r="G9" s="327"/>
      <c r="H9" s="327"/>
      <c r="I9" s="327" t="s">
        <v>149</v>
      </c>
      <c r="J9" s="327" t="s">
        <v>260</v>
      </c>
      <c r="K9" s="327" t="s">
        <v>261</v>
      </c>
      <c r="L9" s="327"/>
      <c r="M9" s="327"/>
      <c r="N9" s="327"/>
      <c r="O9" s="327" t="s">
        <v>149</v>
      </c>
      <c r="P9" s="327" t="s">
        <v>260</v>
      </c>
      <c r="Q9" s="327" t="s">
        <v>261</v>
      </c>
      <c r="R9" s="327"/>
      <c r="S9" s="327"/>
      <c r="T9" s="327"/>
    </row>
    <row r="10" spans="1:20" ht="115.5">
      <c r="A10" s="327"/>
      <c r="B10" s="327"/>
      <c r="C10" s="327"/>
      <c r="D10" s="327"/>
      <c r="E10" s="229" t="s">
        <v>149</v>
      </c>
      <c r="F10" s="229" t="s">
        <v>262</v>
      </c>
      <c r="G10" s="229" t="s">
        <v>263</v>
      </c>
      <c r="H10" s="229" t="s">
        <v>264</v>
      </c>
      <c r="I10" s="327"/>
      <c r="J10" s="327"/>
      <c r="K10" s="229" t="s">
        <v>149</v>
      </c>
      <c r="L10" s="229" t="s">
        <v>262</v>
      </c>
      <c r="M10" s="229" t="s">
        <v>265</v>
      </c>
      <c r="N10" s="229" t="s">
        <v>264</v>
      </c>
      <c r="O10" s="327"/>
      <c r="P10" s="327"/>
      <c r="Q10" s="229" t="s">
        <v>149</v>
      </c>
      <c r="R10" s="229" t="s">
        <v>262</v>
      </c>
      <c r="S10" s="229" t="s">
        <v>263</v>
      </c>
      <c r="T10" s="229" t="s">
        <v>264</v>
      </c>
    </row>
    <row r="11" spans="1:20" ht="21.75">
      <c r="A11" s="230" t="s">
        <v>18</v>
      </c>
      <c r="B11" s="230" t="s">
        <v>17</v>
      </c>
      <c r="C11" s="230">
        <v>1</v>
      </c>
      <c r="D11" s="230">
        <v>2</v>
      </c>
      <c r="E11" s="230">
        <v>3</v>
      </c>
      <c r="F11" s="230">
        <v>4</v>
      </c>
      <c r="G11" s="230">
        <v>5</v>
      </c>
      <c r="H11" s="230">
        <v>6</v>
      </c>
      <c r="I11" s="230">
        <v>7</v>
      </c>
      <c r="J11" s="230">
        <v>8</v>
      </c>
      <c r="K11" s="230">
        <v>9</v>
      </c>
      <c r="L11" s="230">
        <v>10</v>
      </c>
      <c r="M11" s="230">
        <v>11</v>
      </c>
      <c r="N11" s="230">
        <v>12</v>
      </c>
      <c r="O11" s="230" t="s">
        <v>266</v>
      </c>
      <c r="P11" s="230" t="s">
        <v>267</v>
      </c>
      <c r="Q11" s="230" t="s">
        <v>268</v>
      </c>
      <c r="R11" s="230" t="s">
        <v>269</v>
      </c>
      <c r="S11" s="230" t="s">
        <v>270</v>
      </c>
      <c r="T11" s="231" t="s">
        <v>271</v>
      </c>
    </row>
    <row r="12" spans="1:20" ht="21.75" customHeight="1">
      <c r="A12" s="232"/>
      <c r="B12" s="233" t="s">
        <v>272</v>
      </c>
      <c r="C12" s="234">
        <f>SUM(C13:C32)</f>
        <v>72362.91</v>
      </c>
      <c r="D12" s="234">
        <f aca="true" t="shared" si="0" ref="D12:T12">SUM(D13:D32)</f>
        <v>67832.833</v>
      </c>
      <c r="E12" s="234">
        <f t="shared" si="0"/>
        <v>4530.076999999998</v>
      </c>
      <c r="F12" s="234">
        <f t="shared" si="0"/>
        <v>0</v>
      </c>
      <c r="G12" s="234">
        <f t="shared" si="0"/>
        <v>4530.076999999998</v>
      </c>
      <c r="H12" s="234">
        <f t="shared" si="0"/>
        <v>0</v>
      </c>
      <c r="I12" s="234">
        <f t="shared" si="0"/>
        <v>175526.75312</v>
      </c>
      <c r="J12" s="234">
        <f t="shared" si="0"/>
        <v>67832.833</v>
      </c>
      <c r="K12" s="234">
        <f t="shared" si="0"/>
        <v>107693.92012000001</v>
      </c>
      <c r="L12" s="234">
        <f t="shared" si="0"/>
        <v>0</v>
      </c>
      <c r="M12" s="234">
        <f t="shared" si="0"/>
        <v>85348.92012000001</v>
      </c>
      <c r="N12" s="234">
        <f t="shared" si="0"/>
        <v>22345</v>
      </c>
      <c r="O12" s="234">
        <f t="shared" si="0"/>
        <v>4936.285313127301</v>
      </c>
      <c r="P12" s="235">
        <f>J12/D12*100</f>
        <v>100</v>
      </c>
      <c r="Q12" s="236">
        <f>K12/E12*100</f>
        <v>2377.308821020041</v>
      </c>
      <c r="R12" s="234">
        <f t="shared" si="0"/>
        <v>0</v>
      </c>
      <c r="S12" s="237">
        <f>M12/G12*100</f>
        <v>1884.0500971617048</v>
      </c>
      <c r="T12" s="238">
        <f t="shared" si="0"/>
        <v>0</v>
      </c>
    </row>
    <row r="13" spans="1:20" ht="19.5" customHeight="1">
      <c r="A13" s="175">
        <v>1</v>
      </c>
      <c r="B13" s="176" t="s">
        <v>273</v>
      </c>
      <c r="C13" s="239">
        <f>D13+E13</f>
        <v>3562.768</v>
      </c>
      <c r="D13" s="240">
        <v>3358.277</v>
      </c>
      <c r="E13" s="240">
        <f>SUM(F13:H13)</f>
        <v>204.491</v>
      </c>
      <c r="F13" s="241"/>
      <c r="G13" s="239">
        <v>204.491</v>
      </c>
      <c r="H13" s="241"/>
      <c r="I13" s="239">
        <f>J13+K13</f>
        <v>7583.8597</v>
      </c>
      <c r="J13" s="239">
        <f>D13</f>
        <v>3358.277</v>
      </c>
      <c r="K13" s="240">
        <f>SUM(M13:N13)</f>
        <v>4225.5827</v>
      </c>
      <c r="L13" s="241"/>
      <c r="M13" s="240">
        <v>3137.5827</v>
      </c>
      <c r="N13" s="239">
        <v>1088</v>
      </c>
      <c r="O13" s="242">
        <f>I13/C13*100</f>
        <v>212.86425891329438</v>
      </c>
      <c r="P13" s="241">
        <f>J13/D13*100</f>
        <v>100</v>
      </c>
      <c r="Q13" s="243">
        <f>K13/E13*100</f>
        <v>2066.3905501953627</v>
      </c>
      <c r="R13" s="244"/>
      <c r="S13" s="244">
        <f>M13/G13*100</f>
        <v>1534.3377948173757</v>
      </c>
      <c r="T13" s="245"/>
    </row>
    <row r="14" spans="1:20" ht="19.5" customHeight="1">
      <c r="A14" s="175">
        <v>2</v>
      </c>
      <c r="B14" s="176" t="s">
        <v>274</v>
      </c>
      <c r="C14" s="239">
        <f aca="true" t="shared" si="1" ref="C14:C32">D14+E14</f>
        <v>2036.949</v>
      </c>
      <c r="D14" s="240">
        <v>1992.623</v>
      </c>
      <c r="E14" s="240">
        <f aca="true" t="shared" si="2" ref="E14:E32">SUM(F14:H14)</f>
        <v>44.326</v>
      </c>
      <c r="F14" s="241"/>
      <c r="G14" s="239">
        <v>44.326</v>
      </c>
      <c r="H14" s="241"/>
      <c r="I14" s="239">
        <f aca="true" t="shared" si="3" ref="I14:I32">J14+K14</f>
        <v>4823.97934</v>
      </c>
      <c r="J14" s="239">
        <f aca="true" t="shared" si="4" ref="J14:J32">D14</f>
        <v>1992.623</v>
      </c>
      <c r="K14" s="240">
        <f aca="true" t="shared" si="5" ref="K14:K32">SUM(M14:N14)</f>
        <v>2831.35634</v>
      </c>
      <c r="L14" s="241"/>
      <c r="M14" s="240">
        <v>2393.35634</v>
      </c>
      <c r="N14" s="239">
        <v>438</v>
      </c>
      <c r="O14" s="242">
        <f aca="true" t="shared" si="6" ref="O14:Q32">I14/C14*100</f>
        <v>236.82376632895568</v>
      </c>
      <c r="P14" s="241">
        <f t="shared" si="6"/>
        <v>100</v>
      </c>
      <c r="Q14" s="243">
        <f t="shared" si="6"/>
        <v>6387.574651446103</v>
      </c>
      <c r="R14" s="244"/>
      <c r="S14" s="244">
        <f aca="true" t="shared" si="7" ref="S14:S32">M14/G14*100</f>
        <v>5399.441276000541</v>
      </c>
      <c r="T14" s="245"/>
    </row>
    <row r="15" spans="1:20" ht="19.5" customHeight="1">
      <c r="A15" s="175">
        <v>3</v>
      </c>
      <c r="B15" s="176" t="s">
        <v>275</v>
      </c>
      <c r="C15" s="239">
        <f t="shared" si="1"/>
        <v>4513.298</v>
      </c>
      <c r="D15" s="240">
        <v>4135.481</v>
      </c>
      <c r="E15" s="240">
        <f t="shared" si="2"/>
        <v>377.817</v>
      </c>
      <c r="F15" s="241"/>
      <c r="G15" s="239">
        <v>377.817</v>
      </c>
      <c r="H15" s="241"/>
      <c r="I15" s="239">
        <f t="shared" si="3"/>
        <v>13035.648</v>
      </c>
      <c r="J15" s="239">
        <f t="shared" si="4"/>
        <v>4135.481</v>
      </c>
      <c r="K15" s="240">
        <f t="shared" si="5"/>
        <v>8900.167</v>
      </c>
      <c r="L15" s="241"/>
      <c r="M15" s="240">
        <v>7807.1669999999995</v>
      </c>
      <c r="N15" s="239">
        <v>1093</v>
      </c>
      <c r="O15" s="242">
        <f t="shared" si="6"/>
        <v>288.8275491669285</v>
      </c>
      <c r="P15" s="241">
        <f t="shared" si="6"/>
        <v>100</v>
      </c>
      <c r="Q15" s="243">
        <f t="shared" si="6"/>
        <v>2355.6819836058194</v>
      </c>
      <c r="R15" s="244"/>
      <c r="S15" s="244">
        <f t="shared" si="7"/>
        <v>2066.388489665632</v>
      </c>
      <c r="T15" s="245"/>
    </row>
    <row r="16" spans="1:20" ht="19.5" customHeight="1">
      <c r="A16" s="175">
        <v>4</v>
      </c>
      <c r="B16" s="246" t="s">
        <v>276</v>
      </c>
      <c r="C16" s="239">
        <f t="shared" si="1"/>
        <v>3624.138</v>
      </c>
      <c r="D16" s="240">
        <v>3376.377</v>
      </c>
      <c r="E16" s="240">
        <f t="shared" si="2"/>
        <v>247.761</v>
      </c>
      <c r="F16" s="241"/>
      <c r="G16" s="239">
        <v>247.761</v>
      </c>
      <c r="H16" s="241"/>
      <c r="I16" s="239">
        <f t="shared" si="3"/>
        <v>7760.920534000001</v>
      </c>
      <c r="J16" s="239">
        <f t="shared" si="4"/>
        <v>3376.377</v>
      </c>
      <c r="K16" s="240">
        <f t="shared" si="5"/>
        <v>4384.543534</v>
      </c>
      <c r="L16" s="241"/>
      <c r="M16" s="240">
        <v>2981.5435340000004</v>
      </c>
      <c r="N16" s="239">
        <v>1403</v>
      </c>
      <c r="O16" s="242">
        <f t="shared" si="6"/>
        <v>214.14528182977583</v>
      </c>
      <c r="P16" s="241">
        <f t="shared" si="6"/>
        <v>100</v>
      </c>
      <c r="Q16" s="243">
        <f t="shared" si="6"/>
        <v>1769.6665471966937</v>
      </c>
      <c r="R16" s="244"/>
      <c r="S16" s="244">
        <f t="shared" si="7"/>
        <v>1203.39501939369</v>
      </c>
      <c r="T16" s="245"/>
    </row>
    <row r="17" spans="1:20" ht="19.5" customHeight="1">
      <c r="A17" s="175">
        <v>5</v>
      </c>
      <c r="B17" s="247" t="s">
        <v>277</v>
      </c>
      <c r="C17" s="239">
        <f t="shared" si="1"/>
        <v>3570.897</v>
      </c>
      <c r="D17" s="240">
        <v>3427.131</v>
      </c>
      <c r="E17" s="240">
        <f t="shared" si="2"/>
        <v>143.766</v>
      </c>
      <c r="F17" s="248"/>
      <c r="G17" s="239">
        <v>143.766</v>
      </c>
      <c r="H17" s="248"/>
      <c r="I17" s="239">
        <f t="shared" si="3"/>
        <v>9067.928756</v>
      </c>
      <c r="J17" s="239">
        <f t="shared" si="4"/>
        <v>3427.131</v>
      </c>
      <c r="K17" s="240">
        <f t="shared" si="5"/>
        <v>5640.797756</v>
      </c>
      <c r="L17" s="248"/>
      <c r="M17" s="240">
        <v>4570.797756</v>
      </c>
      <c r="N17" s="239">
        <v>1070</v>
      </c>
      <c r="O17" s="242">
        <f t="shared" si="6"/>
        <v>253.9398015680654</v>
      </c>
      <c r="P17" s="241">
        <f t="shared" si="6"/>
        <v>100</v>
      </c>
      <c r="Q17" s="243">
        <f t="shared" si="6"/>
        <v>3923.596508214738</v>
      </c>
      <c r="R17" s="249"/>
      <c r="S17" s="244">
        <f t="shared" si="7"/>
        <v>3179.3315220566756</v>
      </c>
      <c r="T17" s="250"/>
    </row>
    <row r="18" spans="1:20" ht="19.5" customHeight="1">
      <c r="A18" s="175">
        <v>6</v>
      </c>
      <c r="B18" s="247" t="s">
        <v>278</v>
      </c>
      <c r="C18" s="239">
        <f t="shared" si="1"/>
        <v>4621.852</v>
      </c>
      <c r="D18" s="240">
        <v>4059.63</v>
      </c>
      <c r="E18" s="240">
        <f t="shared" si="2"/>
        <v>562.222</v>
      </c>
      <c r="F18" s="248"/>
      <c r="G18" s="239">
        <v>562.222</v>
      </c>
      <c r="H18" s="248"/>
      <c r="I18" s="239">
        <f t="shared" si="3"/>
        <v>10540.51538</v>
      </c>
      <c r="J18" s="239">
        <f t="shared" si="4"/>
        <v>4059.63</v>
      </c>
      <c r="K18" s="240">
        <f t="shared" si="5"/>
        <v>6480.88538</v>
      </c>
      <c r="L18" s="248"/>
      <c r="M18" s="240">
        <v>5402.88538</v>
      </c>
      <c r="N18" s="239">
        <v>1078</v>
      </c>
      <c r="O18" s="242">
        <f t="shared" si="6"/>
        <v>228.05826279162554</v>
      </c>
      <c r="P18" s="241">
        <f t="shared" si="6"/>
        <v>100</v>
      </c>
      <c r="Q18" s="243">
        <f t="shared" si="6"/>
        <v>1152.727104239962</v>
      </c>
      <c r="R18" s="249"/>
      <c r="S18" s="244">
        <f t="shared" si="7"/>
        <v>960.987898018932</v>
      </c>
      <c r="T18" s="250"/>
    </row>
    <row r="19" spans="1:20" ht="19.5" customHeight="1">
      <c r="A19" s="175">
        <v>7</v>
      </c>
      <c r="B19" s="247" t="s">
        <v>279</v>
      </c>
      <c r="C19" s="239">
        <f t="shared" si="1"/>
        <v>4857.682</v>
      </c>
      <c r="D19" s="240">
        <v>4247.361</v>
      </c>
      <c r="E19" s="240">
        <f t="shared" si="2"/>
        <v>610.321</v>
      </c>
      <c r="F19" s="248"/>
      <c r="G19" s="239">
        <v>610.321</v>
      </c>
      <c r="H19" s="248"/>
      <c r="I19" s="239">
        <f t="shared" si="3"/>
        <v>10383.46</v>
      </c>
      <c r="J19" s="239">
        <f t="shared" si="4"/>
        <v>4247.361</v>
      </c>
      <c r="K19" s="240">
        <f t="shared" si="5"/>
        <v>6136.099</v>
      </c>
      <c r="L19" s="248"/>
      <c r="M19" s="240">
        <v>5070.099</v>
      </c>
      <c r="N19" s="239">
        <v>1066</v>
      </c>
      <c r="O19" s="242">
        <f t="shared" si="6"/>
        <v>213.75339102065553</v>
      </c>
      <c r="P19" s="241">
        <f t="shared" si="6"/>
        <v>100</v>
      </c>
      <c r="Q19" s="243">
        <f t="shared" si="6"/>
        <v>1005.3888035967958</v>
      </c>
      <c r="R19" s="249"/>
      <c r="S19" s="244">
        <f t="shared" si="7"/>
        <v>830.7266176323607</v>
      </c>
      <c r="T19" s="250"/>
    </row>
    <row r="20" spans="1:20" ht="19.5" customHeight="1">
      <c r="A20" s="175">
        <v>8</v>
      </c>
      <c r="B20" s="247" t="s">
        <v>280</v>
      </c>
      <c r="C20" s="239">
        <f t="shared" si="1"/>
        <v>4919.878</v>
      </c>
      <c r="D20" s="240">
        <v>4443.003</v>
      </c>
      <c r="E20" s="240">
        <f t="shared" si="2"/>
        <v>476.875</v>
      </c>
      <c r="F20" s="248"/>
      <c r="G20" s="239">
        <v>476.875</v>
      </c>
      <c r="H20" s="248"/>
      <c r="I20" s="239">
        <f t="shared" si="3"/>
        <v>12618.0219</v>
      </c>
      <c r="J20" s="239">
        <f t="shared" si="4"/>
        <v>4443.003</v>
      </c>
      <c r="K20" s="240">
        <f t="shared" si="5"/>
        <v>8175.0189</v>
      </c>
      <c r="L20" s="248"/>
      <c r="M20" s="240">
        <v>7090.0189</v>
      </c>
      <c r="N20" s="239">
        <v>1085</v>
      </c>
      <c r="O20" s="242">
        <f t="shared" si="6"/>
        <v>256.47021938348877</v>
      </c>
      <c r="P20" s="241">
        <f t="shared" si="6"/>
        <v>100</v>
      </c>
      <c r="Q20" s="243">
        <f t="shared" si="6"/>
        <v>1714.2896775884665</v>
      </c>
      <c r="R20" s="249"/>
      <c r="S20" s="244">
        <f t="shared" si="7"/>
        <v>1486.76674180865</v>
      </c>
      <c r="T20" s="250"/>
    </row>
    <row r="21" spans="1:20" ht="19.5" customHeight="1">
      <c r="A21" s="175">
        <v>9</v>
      </c>
      <c r="B21" s="247" t="s">
        <v>281</v>
      </c>
      <c r="C21" s="239">
        <f t="shared" si="1"/>
        <v>2800.751</v>
      </c>
      <c r="D21" s="240">
        <v>2800.751</v>
      </c>
      <c r="E21" s="240">
        <f t="shared" si="2"/>
        <v>0</v>
      </c>
      <c r="F21" s="248"/>
      <c r="G21" s="239">
        <v>0</v>
      </c>
      <c r="H21" s="248"/>
      <c r="I21" s="239">
        <f t="shared" si="3"/>
        <v>9315.7425</v>
      </c>
      <c r="J21" s="239">
        <f t="shared" si="4"/>
        <v>2800.751</v>
      </c>
      <c r="K21" s="240">
        <f t="shared" si="5"/>
        <v>6514.9915</v>
      </c>
      <c r="L21" s="248"/>
      <c r="M21" s="240">
        <v>3820.9915</v>
      </c>
      <c r="N21" s="239">
        <v>2694</v>
      </c>
      <c r="O21" s="242">
        <f t="shared" si="6"/>
        <v>332.61587695585933</v>
      </c>
      <c r="P21" s="241">
        <f t="shared" si="6"/>
        <v>100</v>
      </c>
      <c r="Q21" s="243"/>
      <c r="R21" s="249"/>
      <c r="S21" s="244"/>
      <c r="T21" s="250"/>
    </row>
    <row r="22" spans="1:20" ht="19.5" customHeight="1">
      <c r="A22" s="175">
        <v>10</v>
      </c>
      <c r="B22" s="247" t="s">
        <v>282</v>
      </c>
      <c r="C22" s="239">
        <f t="shared" si="1"/>
        <v>4208.939</v>
      </c>
      <c r="D22" s="240">
        <v>4034.953</v>
      </c>
      <c r="E22" s="240">
        <f t="shared" si="2"/>
        <v>173.986</v>
      </c>
      <c r="F22" s="248"/>
      <c r="G22" s="239">
        <v>173.986</v>
      </c>
      <c r="H22" s="248"/>
      <c r="I22" s="239">
        <f t="shared" si="3"/>
        <v>7528.455</v>
      </c>
      <c r="J22" s="239">
        <f t="shared" si="4"/>
        <v>4034.953</v>
      </c>
      <c r="K22" s="240">
        <f t="shared" si="5"/>
        <v>3493.502</v>
      </c>
      <c r="L22" s="248"/>
      <c r="M22" s="240">
        <v>2105.502</v>
      </c>
      <c r="N22" s="239">
        <v>1388</v>
      </c>
      <c r="O22" s="242">
        <f t="shared" si="6"/>
        <v>178.86823733962405</v>
      </c>
      <c r="P22" s="241">
        <f t="shared" si="6"/>
        <v>100</v>
      </c>
      <c r="Q22" s="243">
        <f t="shared" si="6"/>
        <v>2007.9213270033222</v>
      </c>
      <c r="R22" s="249"/>
      <c r="S22" s="244">
        <f t="shared" si="7"/>
        <v>1210.1559895623786</v>
      </c>
      <c r="T22" s="250"/>
    </row>
    <row r="23" spans="1:20" ht="19.5" customHeight="1">
      <c r="A23" s="175">
        <v>11</v>
      </c>
      <c r="B23" s="247" t="s">
        <v>283</v>
      </c>
      <c r="C23" s="239">
        <f t="shared" si="1"/>
        <v>2904.644</v>
      </c>
      <c r="D23" s="240">
        <v>2769.616</v>
      </c>
      <c r="E23" s="240">
        <f t="shared" si="2"/>
        <v>135.028</v>
      </c>
      <c r="F23" s="248"/>
      <c r="G23" s="239">
        <v>135.028</v>
      </c>
      <c r="H23" s="248"/>
      <c r="I23" s="239">
        <f t="shared" si="3"/>
        <v>14289.528</v>
      </c>
      <c r="J23" s="239">
        <f t="shared" si="4"/>
        <v>2769.616</v>
      </c>
      <c r="K23" s="240">
        <f t="shared" si="5"/>
        <v>11519.912</v>
      </c>
      <c r="L23" s="248"/>
      <c r="M23" s="240">
        <v>6505.912</v>
      </c>
      <c r="N23" s="239">
        <v>5014</v>
      </c>
      <c r="O23" s="242">
        <f t="shared" si="6"/>
        <v>491.95453900718996</v>
      </c>
      <c r="P23" s="241">
        <f t="shared" si="6"/>
        <v>100</v>
      </c>
      <c r="Q23" s="243">
        <f t="shared" si="6"/>
        <v>8531.498652131411</v>
      </c>
      <c r="R23" s="249"/>
      <c r="S23" s="244">
        <f t="shared" si="7"/>
        <v>4818.194744793673</v>
      </c>
      <c r="T23" s="250"/>
    </row>
    <row r="24" spans="1:20" ht="19.5" customHeight="1">
      <c r="A24" s="251">
        <v>12</v>
      </c>
      <c r="B24" s="252" t="s">
        <v>284</v>
      </c>
      <c r="C24" s="253">
        <f t="shared" si="1"/>
        <v>2602.957</v>
      </c>
      <c r="D24" s="254">
        <v>2602.957</v>
      </c>
      <c r="E24" s="254">
        <f t="shared" si="2"/>
        <v>0</v>
      </c>
      <c r="F24" s="255"/>
      <c r="G24" s="253">
        <v>0</v>
      </c>
      <c r="H24" s="255"/>
      <c r="I24" s="253">
        <f t="shared" si="3"/>
        <v>7260.407555</v>
      </c>
      <c r="J24" s="253">
        <f t="shared" si="4"/>
        <v>2602.957</v>
      </c>
      <c r="K24" s="254">
        <f t="shared" si="5"/>
        <v>4657.450554999999</v>
      </c>
      <c r="L24" s="255"/>
      <c r="M24" s="254">
        <v>4504.450554999999</v>
      </c>
      <c r="N24" s="253">
        <v>153</v>
      </c>
      <c r="O24" s="257">
        <f t="shared" si="6"/>
        <v>278.9292160800198</v>
      </c>
      <c r="P24" s="258">
        <f t="shared" si="6"/>
        <v>100</v>
      </c>
      <c r="Q24" s="259"/>
      <c r="R24" s="260"/>
      <c r="S24" s="261"/>
      <c r="T24" s="262"/>
    </row>
    <row r="25" spans="1:20" ht="19.5" customHeight="1">
      <c r="A25" s="263">
        <v>13</v>
      </c>
      <c r="B25" s="264" t="s">
        <v>285</v>
      </c>
      <c r="C25" s="265">
        <f t="shared" si="1"/>
        <v>3008.327</v>
      </c>
      <c r="D25" s="266">
        <v>3008.327</v>
      </c>
      <c r="E25" s="266">
        <f t="shared" si="2"/>
        <v>0</v>
      </c>
      <c r="F25" s="267"/>
      <c r="G25" s="265">
        <v>0</v>
      </c>
      <c r="H25" s="267"/>
      <c r="I25" s="265">
        <f t="shared" si="3"/>
        <v>7502.3544</v>
      </c>
      <c r="J25" s="265">
        <f t="shared" si="4"/>
        <v>3008.327</v>
      </c>
      <c r="K25" s="266">
        <f t="shared" si="5"/>
        <v>4494.0274</v>
      </c>
      <c r="L25" s="267"/>
      <c r="M25" s="266">
        <v>4482.0274</v>
      </c>
      <c r="N25" s="265">
        <v>12</v>
      </c>
      <c r="O25" s="268">
        <f t="shared" si="6"/>
        <v>249.38626685197454</v>
      </c>
      <c r="P25" s="269">
        <f t="shared" si="6"/>
        <v>100</v>
      </c>
      <c r="Q25" s="270"/>
      <c r="R25" s="271"/>
      <c r="S25" s="272"/>
      <c r="T25" s="273"/>
    </row>
    <row r="26" spans="1:20" ht="19.5" customHeight="1">
      <c r="A26" s="175">
        <v>14</v>
      </c>
      <c r="B26" s="247" t="s">
        <v>286</v>
      </c>
      <c r="C26" s="239">
        <f t="shared" si="1"/>
        <v>3368.683</v>
      </c>
      <c r="D26" s="240">
        <v>2956.583</v>
      </c>
      <c r="E26" s="240">
        <f t="shared" si="2"/>
        <v>412.1</v>
      </c>
      <c r="F26" s="248"/>
      <c r="G26" s="239">
        <v>412.1</v>
      </c>
      <c r="H26" s="248"/>
      <c r="I26" s="239">
        <f t="shared" si="3"/>
        <v>8254.546507000001</v>
      </c>
      <c r="J26" s="239">
        <f t="shared" si="4"/>
        <v>2956.583</v>
      </c>
      <c r="K26" s="240">
        <f t="shared" si="5"/>
        <v>5297.963507</v>
      </c>
      <c r="L26" s="248"/>
      <c r="M26" s="240">
        <v>4849.963507</v>
      </c>
      <c r="N26" s="239">
        <v>448</v>
      </c>
      <c r="O26" s="242">
        <f t="shared" si="6"/>
        <v>245.03779390937055</v>
      </c>
      <c r="P26" s="241">
        <f t="shared" si="6"/>
        <v>100</v>
      </c>
      <c r="Q26" s="243">
        <f t="shared" si="6"/>
        <v>1285.6014333899539</v>
      </c>
      <c r="R26" s="249"/>
      <c r="S26" s="244">
        <f t="shared" si="7"/>
        <v>1176.8899555933026</v>
      </c>
      <c r="T26" s="250"/>
    </row>
    <row r="27" spans="1:20" ht="19.5" customHeight="1">
      <c r="A27" s="175">
        <v>15</v>
      </c>
      <c r="B27" s="247" t="s">
        <v>287</v>
      </c>
      <c r="C27" s="239">
        <f t="shared" si="1"/>
        <v>3629.1079999999997</v>
      </c>
      <c r="D27" s="240">
        <v>3537.276</v>
      </c>
      <c r="E27" s="240">
        <f t="shared" si="2"/>
        <v>91.832</v>
      </c>
      <c r="F27" s="248"/>
      <c r="G27" s="239">
        <v>91.832</v>
      </c>
      <c r="H27" s="248"/>
      <c r="I27" s="239">
        <f t="shared" si="3"/>
        <v>7435.42</v>
      </c>
      <c r="J27" s="239">
        <f t="shared" si="4"/>
        <v>3537.276</v>
      </c>
      <c r="K27" s="240">
        <f t="shared" si="5"/>
        <v>3898.144</v>
      </c>
      <c r="L27" s="248"/>
      <c r="M27" s="240">
        <v>3351.144</v>
      </c>
      <c r="N27" s="239">
        <v>547</v>
      </c>
      <c r="O27" s="242">
        <f t="shared" si="6"/>
        <v>204.88285275610428</v>
      </c>
      <c r="P27" s="241">
        <f t="shared" si="6"/>
        <v>100</v>
      </c>
      <c r="Q27" s="243">
        <f t="shared" si="6"/>
        <v>4244.864535238261</v>
      </c>
      <c r="R27" s="249"/>
      <c r="S27" s="244">
        <f t="shared" si="7"/>
        <v>3649.2116037982405</v>
      </c>
      <c r="T27" s="250"/>
    </row>
    <row r="28" spans="1:20" ht="19.5" customHeight="1">
      <c r="A28" s="175">
        <v>16</v>
      </c>
      <c r="B28" s="247" t="s">
        <v>288</v>
      </c>
      <c r="C28" s="239">
        <f t="shared" si="1"/>
        <v>3344.614</v>
      </c>
      <c r="D28" s="240">
        <v>3125.542</v>
      </c>
      <c r="E28" s="240">
        <f t="shared" si="2"/>
        <v>219.072</v>
      </c>
      <c r="F28" s="248"/>
      <c r="G28" s="239">
        <v>219.072</v>
      </c>
      <c r="H28" s="248"/>
      <c r="I28" s="239">
        <f t="shared" si="3"/>
        <v>5377.981</v>
      </c>
      <c r="J28" s="239">
        <f t="shared" si="4"/>
        <v>3125.542</v>
      </c>
      <c r="K28" s="240">
        <f t="shared" si="5"/>
        <v>2252.439</v>
      </c>
      <c r="L28" s="248"/>
      <c r="M28" s="240">
        <v>1802.4389999999999</v>
      </c>
      <c r="N28" s="239">
        <v>450</v>
      </c>
      <c r="O28" s="242">
        <f t="shared" si="6"/>
        <v>160.79526665857404</v>
      </c>
      <c r="P28" s="241">
        <f t="shared" si="6"/>
        <v>100</v>
      </c>
      <c r="Q28" s="243">
        <f t="shared" si="6"/>
        <v>1028.1729294478528</v>
      </c>
      <c r="R28" s="249"/>
      <c r="S28" s="244">
        <f t="shared" si="7"/>
        <v>822.761010078878</v>
      </c>
      <c r="T28" s="250"/>
    </row>
    <row r="29" spans="1:20" ht="19.5" customHeight="1">
      <c r="A29" s="175">
        <v>17</v>
      </c>
      <c r="B29" s="247" t="s">
        <v>289</v>
      </c>
      <c r="C29" s="239">
        <f t="shared" si="1"/>
        <v>3514.775</v>
      </c>
      <c r="D29" s="240">
        <v>3261.01</v>
      </c>
      <c r="E29" s="240">
        <f t="shared" si="2"/>
        <v>253.765</v>
      </c>
      <c r="F29" s="248"/>
      <c r="G29" s="239">
        <v>253.765</v>
      </c>
      <c r="H29" s="248"/>
      <c r="I29" s="239">
        <f t="shared" si="3"/>
        <v>9107.301500000001</v>
      </c>
      <c r="J29" s="239">
        <f t="shared" si="4"/>
        <v>3261.01</v>
      </c>
      <c r="K29" s="240">
        <f t="shared" si="5"/>
        <v>5846.2915</v>
      </c>
      <c r="L29" s="248"/>
      <c r="M29" s="240">
        <v>5782.2915</v>
      </c>
      <c r="N29" s="239">
        <v>64</v>
      </c>
      <c r="O29" s="242">
        <f t="shared" si="6"/>
        <v>259.11477975119317</v>
      </c>
      <c r="P29" s="241">
        <f t="shared" si="6"/>
        <v>100</v>
      </c>
      <c r="Q29" s="243">
        <f t="shared" si="6"/>
        <v>2303.8210549130104</v>
      </c>
      <c r="R29" s="249"/>
      <c r="S29" s="244">
        <f t="shared" si="7"/>
        <v>2278.60087088448</v>
      </c>
      <c r="T29" s="250"/>
    </row>
    <row r="30" spans="1:20" ht="19.5" customHeight="1">
      <c r="A30" s="175">
        <v>18</v>
      </c>
      <c r="B30" s="247" t="s">
        <v>290</v>
      </c>
      <c r="C30" s="239">
        <f t="shared" si="1"/>
        <v>4297.939</v>
      </c>
      <c r="D30" s="240">
        <v>4028.913</v>
      </c>
      <c r="E30" s="240">
        <f t="shared" si="2"/>
        <v>269.026</v>
      </c>
      <c r="F30" s="248"/>
      <c r="G30" s="239">
        <v>269.026</v>
      </c>
      <c r="H30" s="248"/>
      <c r="I30" s="239">
        <f t="shared" si="3"/>
        <v>9028.184048000001</v>
      </c>
      <c r="J30" s="239">
        <f t="shared" si="4"/>
        <v>4028.913</v>
      </c>
      <c r="K30" s="240">
        <f t="shared" si="5"/>
        <v>4999.2710480000005</v>
      </c>
      <c r="L30" s="248"/>
      <c r="M30" s="240">
        <v>3913.271048</v>
      </c>
      <c r="N30" s="239">
        <v>1086</v>
      </c>
      <c r="O30" s="242">
        <f t="shared" si="6"/>
        <v>210.05845006176216</v>
      </c>
      <c r="P30" s="241">
        <f t="shared" si="6"/>
        <v>100</v>
      </c>
      <c r="Q30" s="243">
        <f t="shared" si="6"/>
        <v>1858.2854623716667</v>
      </c>
      <c r="R30" s="249"/>
      <c r="S30" s="244">
        <f t="shared" si="7"/>
        <v>1454.6070075011337</v>
      </c>
      <c r="T30" s="250"/>
    </row>
    <row r="31" spans="1:20" ht="19.5" customHeight="1">
      <c r="A31" s="175">
        <v>19</v>
      </c>
      <c r="B31" s="247" t="s">
        <v>291</v>
      </c>
      <c r="C31" s="239">
        <f t="shared" si="1"/>
        <v>3532.5710000000004</v>
      </c>
      <c r="D31" s="240">
        <v>3407.849</v>
      </c>
      <c r="E31" s="240">
        <f t="shared" si="2"/>
        <v>124.722</v>
      </c>
      <c r="F31" s="248"/>
      <c r="G31" s="239">
        <v>124.722</v>
      </c>
      <c r="H31" s="248"/>
      <c r="I31" s="239">
        <f t="shared" si="3"/>
        <v>6398.217000000001</v>
      </c>
      <c r="J31" s="239">
        <f t="shared" si="4"/>
        <v>3407.849</v>
      </c>
      <c r="K31" s="240">
        <f t="shared" si="5"/>
        <v>2990.368</v>
      </c>
      <c r="L31" s="248"/>
      <c r="M31" s="240">
        <v>1907.368</v>
      </c>
      <c r="N31" s="239">
        <v>1083</v>
      </c>
      <c r="O31" s="242">
        <f t="shared" si="6"/>
        <v>181.12069085094114</v>
      </c>
      <c r="P31" s="241">
        <f t="shared" si="6"/>
        <v>100</v>
      </c>
      <c r="Q31" s="243">
        <f t="shared" si="6"/>
        <v>2397.6267218293488</v>
      </c>
      <c r="R31" s="249"/>
      <c r="S31" s="244">
        <f t="shared" si="7"/>
        <v>1529.2955533105626</v>
      </c>
      <c r="T31" s="250"/>
    </row>
    <row r="32" spans="1:20" ht="19.5" customHeight="1">
      <c r="A32" s="251">
        <v>20</v>
      </c>
      <c r="B32" s="252" t="s">
        <v>292</v>
      </c>
      <c r="C32" s="253">
        <f t="shared" si="1"/>
        <v>3442.14</v>
      </c>
      <c r="D32" s="254">
        <v>3259.173</v>
      </c>
      <c r="E32" s="254">
        <f t="shared" si="2"/>
        <v>182.967</v>
      </c>
      <c r="F32" s="255"/>
      <c r="G32" s="253">
        <v>182.967</v>
      </c>
      <c r="H32" s="255"/>
      <c r="I32" s="253">
        <f t="shared" si="3"/>
        <v>8214.282</v>
      </c>
      <c r="J32" s="253">
        <f t="shared" si="4"/>
        <v>3259.173</v>
      </c>
      <c r="K32" s="254">
        <f t="shared" si="5"/>
        <v>4955.109</v>
      </c>
      <c r="L32" s="255"/>
      <c r="M32" s="256">
        <v>3870.1090000000004</v>
      </c>
      <c r="N32" s="253">
        <v>1085</v>
      </c>
      <c r="O32" s="257">
        <f t="shared" si="6"/>
        <v>238.63881190189824</v>
      </c>
      <c r="P32" s="258">
        <f t="shared" si="6"/>
        <v>100</v>
      </c>
      <c r="Q32" s="259">
        <f t="shared" si="6"/>
        <v>2708.198199675351</v>
      </c>
      <c r="R32" s="260"/>
      <c r="S32" s="261">
        <f t="shared" si="7"/>
        <v>2115.195089824941</v>
      </c>
      <c r="T32" s="262"/>
    </row>
    <row r="33" spans="1:20" ht="15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</row>
    <row r="34" spans="12:20" ht="15.75">
      <c r="L34" s="325"/>
      <c r="M34" s="325"/>
      <c r="N34" s="325"/>
      <c r="O34" s="325"/>
      <c r="P34" s="325"/>
      <c r="Q34" s="325"/>
      <c r="R34" s="325"/>
      <c r="S34" s="325"/>
      <c r="T34" s="325"/>
    </row>
    <row r="35" spans="12:20" ht="15.75">
      <c r="L35" s="326"/>
      <c r="M35" s="326"/>
      <c r="N35" s="326"/>
      <c r="O35" s="326"/>
      <c r="P35" s="326"/>
      <c r="Q35" s="326"/>
      <c r="R35" s="326"/>
      <c r="S35" s="326"/>
      <c r="T35" s="326"/>
    </row>
    <row r="36" spans="12:20" ht="15.75">
      <c r="L36" s="326"/>
      <c r="M36" s="326"/>
      <c r="N36" s="326"/>
      <c r="O36" s="326"/>
      <c r="P36" s="326"/>
      <c r="Q36" s="326"/>
      <c r="R36" s="326"/>
      <c r="S36" s="326"/>
      <c r="T36" s="326"/>
    </row>
    <row r="42" spans="12:20" ht="18.75">
      <c r="L42" s="310"/>
      <c r="M42" s="310"/>
      <c r="N42" s="310"/>
      <c r="O42" s="310"/>
      <c r="P42" s="310"/>
      <c r="Q42" s="310"/>
      <c r="R42" s="310"/>
      <c r="S42" s="310"/>
      <c r="T42" s="310"/>
    </row>
  </sheetData>
  <sheetProtection/>
  <mergeCells count="22">
    <mergeCell ref="Q1:T1"/>
    <mergeCell ref="A4:T4"/>
    <mergeCell ref="Q7:T7"/>
    <mergeCell ref="A8:A10"/>
    <mergeCell ref="B8:B10"/>
    <mergeCell ref="P9:P10"/>
    <mergeCell ref="I8:N8"/>
    <mergeCell ref="O8:T8"/>
    <mergeCell ref="Q9:T9"/>
    <mergeCell ref="A5:T5"/>
    <mergeCell ref="C8:H8"/>
    <mergeCell ref="L36:T36"/>
    <mergeCell ref="C9:C10"/>
    <mergeCell ref="D9:D10"/>
    <mergeCell ref="O9:O10"/>
    <mergeCell ref="L35:T35"/>
    <mergeCell ref="L34:T34"/>
    <mergeCell ref="L42:T42"/>
    <mergeCell ref="E9:H9"/>
    <mergeCell ref="I9:I10"/>
    <mergeCell ref="J9:J10"/>
    <mergeCell ref="K9:N9"/>
  </mergeCells>
  <printOptions/>
  <pageMargins left="0" right="0" top="0.5" bottom="0.5" header="0.3" footer="0.3"/>
  <pageSetup horizontalDpi="600" verticalDpi="600" orientation="landscape" paperSize="9" r:id="rId2"/>
  <headerFoot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H14" sqref="H14"/>
    </sheetView>
  </sheetViews>
  <sheetFormatPr defaultColWidth="8.796875" defaultRowHeight="15"/>
  <cols>
    <col min="1" max="1" width="2.8984375" style="0" customWidth="1"/>
    <col min="2" max="2" width="15.09765625" style="0" customWidth="1"/>
    <col min="3" max="3" width="6.19921875" style="0" customWidth="1"/>
    <col min="4" max="5" width="5.5" style="0" customWidth="1"/>
    <col min="6" max="6" width="5.8984375" style="0" customWidth="1"/>
    <col min="7" max="7" width="5.5" style="0" customWidth="1"/>
    <col min="8" max="8" width="4.69921875" style="0" customWidth="1"/>
    <col min="9" max="9" width="5.59765625" style="0" customWidth="1"/>
    <col min="10" max="10" width="5.69921875" style="0" customWidth="1"/>
    <col min="11" max="11" width="5.5" style="0" customWidth="1"/>
    <col min="12" max="12" width="3.69921875" style="0" customWidth="1"/>
    <col min="13" max="14" width="5.09765625" style="0" customWidth="1"/>
    <col min="15" max="15" width="3.19921875" style="0" customWidth="1"/>
    <col min="16" max="16" width="5.69921875" style="0" customWidth="1"/>
    <col min="17" max="18" width="5.8984375" style="0" customWidth="1"/>
    <col min="19" max="19" width="4.19921875" style="0" customWidth="1"/>
    <col min="20" max="20" width="4.8984375" style="0" customWidth="1"/>
    <col min="21" max="21" width="5.5" style="0" customWidth="1"/>
    <col min="22" max="22" width="3.3984375" style="0" customWidth="1"/>
    <col min="23" max="23" width="4.3984375" style="0" customWidth="1"/>
    <col min="24" max="24" width="4.19921875" style="0" customWidth="1"/>
    <col min="25" max="25" width="4.09765625" style="0" customWidth="1"/>
  </cols>
  <sheetData>
    <row r="1" spans="1:24" ht="15">
      <c r="A1" s="280" t="s">
        <v>294</v>
      </c>
      <c r="X1" s="281" t="s">
        <v>295</v>
      </c>
    </row>
    <row r="2" ht="13.5" customHeight="1">
      <c r="A2" s="282"/>
    </row>
    <row r="3" spans="1:25" ht="20.25" customHeight="1">
      <c r="A3" s="329" t="s">
        <v>296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</row>
    <row r="4" spans="1:25" ht="21.75" customHeight="1">
      <c r="A4" s="322" t="s">
        <v>325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21:25" ht="15">
      <c r="U5" s="332" t="s">
        <v>258</v>
      </c>
      <c r="V5" s="332"/>
      <c r="W5" s="332"/>
      <c r="X5" s="332"/>
      <c r="Y5" s="332"/>
    </row>
    <row r="6" spans="1:25" ht="15">
      <c r="A6" s="323" t="s">
        <v>12</v>
      </c>
      <c r="B6" s="323" t="s">
        <v>35</v>
      </c>
      <c r="C6" s="323" t="s">
        <v>36</v>
      </c>
      <c r="D6" s="323"/>
      <c r="E6" s="323"/>
      <c r="F6" s="323" t="s">
        <v>37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 t="s">
        <v>38</v>
      </c>
      <c r="X6" s="323"/>
      <c r="Y6" s="323"/>
    </row>
    <row r="7" spans="1:25" ht="15">
      <c r="A7" s="323"/>
      <c r="B7" s="323"/>
      <c r="C7" s="323" t="s">
        <v>149</v>
      </c>
      <c r="D7" s="330" t="s">
        <v>297</v>
      </c>
      <c r="E7" s="331"/>
      <c r="F7" s="323" t="s">
        <v>149</v>
      </c>
      <c r="G7" s="323" t="s">
        <v>297</v>
      </c>
      <c r="H7" s="323"/>
      <c r="I7" s="323" t="s">
        <v>305</v>
      </c>
      <c r="J7" s="323"/>
      <c r="K7" s="323"/>
      <c r="L7" s="323"/>
      <c r="M7" s="323"/>
      <c r="N7" s="323"/>
      <c r="O7" s="323"/>
      <c r="P7" s="323" t="s">
        <v>306</v>
      </c>
      <c r="Q7" s="323"/>
      <c r="R7" s="323"/>
      <c r="S7" s="323"/>
      <c r="T7" s="323"/>
      <c r="U7" s="323"/>
      <c r="V7" s="323"/>
      <c r="W7" s="323" t="s">
        <v>149</v>
      </c>
      <c r="X7" s="323" t="s">
        <v>297</v>
      </c>
      <c r="Y7" s="323"/>
    </row>
    <row r="8" spans="1:25" ht="15">
      <c r="A8" s="323"/>
      <c r="B8" s="323"/>
      <c r="C8" s="323"/>
      <c r="D8" s="323" t="s">
        <v>298</v>
      </c>
      <c r="E8" s="323" t="s">
        <v>299</v>
      </c>
      <c r="F8" s="323"/>
      <c r="G8" s="323" t="s">
        <v>298</v>
      </c>
      <c r="H8" s="323" t="s">
        <v>304</v>
      </c>
      <c r="I8" s="323" t="s">
        <v>149</v>
      </c>
      <c r="J8" s="323" t="s">
        <v>298</v>
      </c>
      <c r="K8" s="323"/>
      <c r="L8" s="323"/>
      <c r="M8" s="323" t="s">
        <v>299</v>
      </c>
      <c r="N8" s="323"/>
      <c r="O8" s="323"/>
      <c r="P8" s="323" t="s">
        <v>149</v>
      </c>
      <c r="Q8" s="323" t="s">
        <v>298</v>
      </c>
      <c r="R8" s="323"/>
      <c r="S8" s="323"/>
      <c r="T8" s="323" t="s">
        <v>299</v>
      </c>
      <c r="U8" s="323"/>
      <c r="V8" s="323"/>
      <c r="W8" s="323"/>
      <c r="X8" s="323" t="s">
        <v>298</v>
      </c>
      <c r="Y8" s="323" t="s">
        <v>299</v>
      </c>
    </row>
    <row r="9" spans="1:25" ht="47.25" customHeight="1">
      <c r="A9" s="323"/>
      <c r="B9" s="323"/>
      <c r="C9" s="323"/>
      <c r="D9" s="323"/>
      <c r="E9" s="323"/>
      <c r="F9" s="323"/>
      <c r="G9" s="323"/>
      <c r="H9" s="323"/>
      <c r="I9" s="323"/>
      <c r="J9" s="70" t="s">
        <v>149</v>
      </c>
      <c r="K9" s="70" t="s">
        <v>300</v>
      </c>
      <c r="L9" s="70" t="s">
        <v>301</v>
      </c>
      <c r="M9" s="70" t="s">
        <v>149</v>
      </c>
      <c r="N9" s="70" t="s">
        <v>300</v>
      </c>
      <c r="O9" s="70" t="s">
        <v>301</v>
      </c>
      <c r="P9" s="323"/>
      <c r="Q9" s="70" t="s">
        <v>149</v>
      </c>
      <c r="R9" s="70" t="s">
        <v>300</v>
      </c>
      <c r="S9" s="70" t="s">
        <v>301</v>
      </c>
      <c r="T9" s="70" t="s">
        <v>149</v>
      </c>
      <c r="U9" s="70" t="s">
        <v>300</v>
      </c>
      <c r="V9" s="70" t="s">
        <v>301</v>
      </c>
      <c r="W9" s="323"/>
      <c r="X9" s="323"/>
      <c r="Y9" s="323"/>
    </row>
    <row r="10" spans="1:25" ht="15">
      <c r="A10" s="120" t="s">
        <v>18</v>
      </c>
      <c r="B10" s="120" t="s">
        <v>17</v>
      </c>
      <c r="C10" s="120">
        <v>1</v>
      </c>
      <c r="D10" s="120">
        <v>2</v>
      </c>
      <c r="E10" s="120">
        <v>3</v>
      </c>
      <c r="F10" s="120">
        <v>8</v>
      </c>
      <c r="G10" s="120">
        <v>5</v>
      </c>
      <c r="H10" s="120">
        <v>6</v>
      </c>
      <c r="I10" s="120">
        <v>7</v>
      </c>
      <c r="J10" s="120">
        <v>8</v>
      </c>
      <c r="K10" s="120">
        <v>9</v>
      </c>
      <c r="L10" s="120">
        <v>10</v>
      </c>
      <c r="M10" s="120">
        <v>11</v>
      </c>
      <c r="N10" s="120">
        <v>12</v>
      </c>
      <c r="O10" s="120">
        <v>13</v>
      </c>
      <c r="P10" s="120">
        <v>14</v>
      </c>
      <c r="Q10" s="120">
        <v>15</v>
      </c>
      <c r="R10" s="120">
        <v>16</v>
      </c>
      <c r="S10" s="120">
        <v>17</v>
      </c>
      <c r="T10" s="120">
        <v>18</v>
      </c>
      <c r="U10" s="120">
        <v>19</v>
      </c>
      <c r="V10" s="120">
        <v>20</v>
      </c>
      <c r="W10" s="120">
        <v>21</v>
      </c>
      <c r="X10" s="120">
        <v>22</v>
      </c>
      <c r="Y10" s="120">
        <v>23</v>
      </c>
    </row>
    <row r="11" spans="1:25" s="292" customFormat="1" ht="19.5" customHeight="1">
      <c r="A11" s="293"/>
      <c r="B11" s="294" t="s">
        <v>272</v>
      </c>
      <c r="C11" s="295">
        <f aca="true" t="shared" si="0" ref="C11:V11">C12+C35</f>
        <v>58462.140657</v>
      </c>
      <c r="D11" s="295">
        <f t="shared" si="0"/>
        <v>46051.864726</v>
      </c>
      <c r="E11" s="295">
        <f t="shared" si="0"/>
        <v>12410.275930999998</v>
      </c>
      <c r="F11" s="295">
        <f t="shared" si="0"/>
        <v>46564.246234</v>
      </c>
      <c r="G11" s="295">
        <f t="shared" si="0"/>
        <v>38880.059234</v>
      </c>
      <c r="H11" s="295">
        <f t="shared" si="0"/>
        <v>7684.187000000002</v>
      </c>
      <c r="I11" s="295">
        <f t="shared" si="0"/>
        <v>24920.260186999996</v>
      </c>
      <c r="J11" s="295">
        <f t="shared" si="0"/>
        <v>20286.978186999997</v>
      </c>
      <c r="K11" s="295">
        <f t="shared" si="0"/>
        <v>20286.978186999997</v>
      </c>
      <c r="L11" s="295">
        <f t="shared" si="0"/>
        <v>0</v>
      </c>
      <c r="M11" s="295">
        <f t="shared" si="0"/>
        <v>4633.282</v>
      </c>
      <c r="N11" s="295">
        <f t="shared" si="0"/>
        <v>4633.282</v>
      </c>
      <c r="O11" s="295">
        <f t="shared" si="0"/>
        <v>0</v>
      </c>
      <c r="P11" s="295">
        <f t="shared" si="0"/>
        <v>20866.037047</v>
      </c>
      <c r="Q11" s="295">
        <f t="shared" si="0"/>
        <v>18593.081047000003</v>
      </c>
      <c r="R11" s="295">
        <f t="shared" si="0"/>
        <v>18593.081047000003</v>
      </c>
      <c r="S11" s="295">
        <f t="shared" si="0"/>
        <v>0</v>
      </c>
      <c r="T11" s="295">
        <f t="shared" si="0"/>
        <v>3050.905</v>
      </c>
      <c r="U11" s="295">
        <f t="shared" si="0"/>
        <v>3050.905</v>
      </c>
      <c r="V11" s="295">
        <f t="shared" si="0"/>
        <v>0</v>
      </c>
      <c r="W11" s="305">
        <f>F11/C11*100</f>
        <v>79.64854812141505</v>
      </c>
      <c r="X11" s="305">
        <f>G11/D11*100</f>
        <v>84.4266773242063</v>
      </c>
      <c r="Y11" s="305">
        <f>H11/E11*100</f>
        <v>61.917938349827025</v>
      </c>
    </row>
    <row r="12" spans="1:25" ht="19.5" customHeight="1">
      <c r="A12" s="296" t="s">
        <v>13</v>
      </c>
      <c r="B12" s="297" t="s">
        <v>113</v>
      </c>
      <c r="C12" s="298">
        <f>SUM(C13:C34)</f>
        <v>25173.460653000002</v>
      </c>
      <c r="D12" s="298">
        <f>SUM(D13:D34)</f>
        <v>24205.816653</v>
      </c>
      <c r="E12" s="304">
        <f>SUM(E13:E34)</f>
        <v>967.644</v>
      </c>
      <c r="F12" s="298">
        <f>SUM(F13:F34)</f>
        <v>21003.712186999997</v>
      </c>
      <c r="G12" s="298">
        <f aca="true" t="shared" si="1" ref="G12:V12">SUM(G13:G34)</f>
        <v>20038.406186999997</v>
      </c>
      <c r="H12" s="298">
        <f t="shared" si="1"/>
        <v>965.306</v>
      </c>
      <c r="I12" s="298">
        <f t="shared" si="1"/>
        <v>20093.406186999997</v>
      </c>
      <c r="J12" s="298">
        <f t="shared" si="1"/>
        <v>20038.406186999997</v>
      </c>
      <c r="K12" s="298">
        <f t="shared" si="1"/>
        <v>20038.406186999997</v>
      </c>
      <c r="L12" s="298">
        <f t="shared" si="1"/>
        <v>0</v>
      </c>
      <c r="M12" s="298">
        <f t="shared" si="1"/>
        <v>55</v>
      </c>
      <c r="N12" s="298">
        <f t="shared" si="1"/>
        <v>55</v>
      </c>
      <c r="O12" s="298">
        <f t="shared" si="1"/>
        <v>0</v>
      </c>
      <c r="P12" s="298">
        <f t="shared" si="1"/>
        <v>132.357</v>
      </c>
      <c r="Q12" s="298">
        <f t="shared" si="1"/>
        <v>0</v>
      </c>
      <c r="R12" s="298">
        <f t="shared" si="1"/>
        <v>0</v>
      </c>
      <c r="S12" s="298">
        <f t="shared" si="1"/>
        <v>0</v>
      </c>
      <c r="T12" s="298">
        <f t="shared" si="1"/>
        <v>910.306</v>
      </c>
      <c r="U12" s="298">
        <f t="shared" si="1"/>
        <v>910.306</v>
      </c>
      <c r="V12" s="298">
        <f t="shared" si="1"/>
        <v>0</v>
      </c>
      <c r="W12" s="306">
        <f aca="true" t="shared" si="2" ref="W12:W55">F12/C12*100</f>
        <v>83.4359346794733</v>
      </c>
      <c r="X12" s="306">
        <f aca="true" t="shared" si="3" ref="X12:X55">G12/D12*100</f>
        <v>82.78343372693642</v>
      </c>
      <c r="Y12" s="306">
        <f aca="true" t="shared" si="4" ref="Y12:Y55">H12/E12*100</f>
        <v>99.75838221494683</v>
      </c>
    </row>
    <row r="13" spans="1:25" ht="33" customHeight="1">
      <c r="A13" s="289">
        <v>1</v>
      </c>
      <c r="B13" s="299" t="s">
        <v>302</v>
      </c>
      <c r="C13" s="288">
        <f>D13+E13</f>
        <v>779.7950000000001</v>
      </c>
      <c r="D13" s="288"/>
      <c r="E13" s="290">
        <f>777.95+1.845</f>
        <v>779.7950000000001</v>
      </c>
      <c r="F13" s="288">
        <f>G13+H13</f>
        <v>777.9490000000001</v>
      </c>
      <c r="G13" s="288">
        <f>J13+Q13</f>
        <v>0</v>
      </c>
      <c r="H13" s="290">
        <f>M13+T13</f>
        <v>777.9490000000001</v>
      </c>
      <c r="I13" s="291">
        <f>J13+M13</f>
        <v>0</v>
      </c>
      <c r="J13" s="288"/>
      <c r="K13" s="288"/>
      <c r="L13" s="287"/>
      <c r="M13" s="287"/>
      <c r="N13" s="287"/>
      <c r="O13" s="287"/>
      <c r="P13" s="287"/>
      <c r="Q13" s="287"/>
      <c r="R13" s="287"/>
      <c r="S13" s="287"/>
      <c r="T13" s="290">
        <f>U13+V13</f>
        <v>777.9490000000001</v>
      </c>
      <c r="U13" s="290">
        <f>910.306-U14</f>
        <v>777.9490000000001</v>
      </c>
      <c r="V13" s="287"/>
      <c r="W13" s="290">
        <f t="shared" si="2"/>
        <v>99.76327111612667</v>
      </c>
      <c r="X13" s="290"/>
      <c r="Y13" s="290">
        <f t="shared" si="4"/>
        <v>99.76327111612667</v>
      </c>
    </row>
    <row r="14" spans="1:25" ht="29.25" customHeight="1">
      <c r="A14" s="289">
        <v>2</v>
      </c>
      <c r="B14" s="299" t="s">
        <v>303</v>
      </c>
      <c r="C14" s="288">
        <f aca="true" t="shared" si="5" ref="C14:C34">D14+E14</f>
        <v>187.849</v>
      </c>
      <c r="D14" s="288"/>
      <c r="E14" s="290">
        <f>187+0.849</f>
        <v>187.849</v>
      </c>
      <c r="F14" s="288">
        <f>G14+H14</f>
        <v>187.357</v>
      </c>
      <c r="G14" s="288">
        <f>J14+Q14</f>
        <v>0</v>
      </c>
      <c r="H14" s="290">
        <f>M14+T14</f>
        <v>187.357</v>
      </c>
      <c r="I14" s="291">
        <f>J14+M14</f>
        <v>55</v>
      </c>
      <c r="J14" s="288">
        <f>K14+L14</f>
        <v>0</v>
      </c>
      <c r="K14" s="288"/>
      <c r="L14" s="287"/>
      <c r="M14" s="287">
        <f>N14+O14</f>
        <v>55</v>
      </c>
      <c r="N14" s="287">
        <v>55</v>
      </c>
      <c r="O14" s="287"/>
      <c r="P14" s="290">
        <f>Q14+T14</f>
        <v>132.357</v>
      </c>
      <c r="Q14" s="287"/>
      <c r="R14" s="287"/>
      <c r="S14" s="287"/>
      <c r="T14" s="290">
        <f>U14+V14</f>
        <v>132.357</v>
      </c>
      <c r="U14" s="290">
        <v>132.357</v>
      </c>
      <c r="V14" s="287"/>
      <c r="W14" s="290">
        <f t="shared" si="2"/>
        <v>99.73808750645465</v>
      </c>
      <c r="X14" s="290"/>
      <c r="Y14" s="290">
        <f t="shared" si="4"/>
        <v>99.73808750645465</v>
      </c>
    </row>
    <row r="15" spans="1:25" ht="18.75" customHeight="1">
      <c r="A15" s="289">
        <v>3</v>
      </c>
      <c r="B15" s="299" t="s">
        <v>273</v>
      </c>
      <c r="C15" s="288">
        <f t="shared" si="5"/>
        <v>1739.749</v>
      </c>
      <c r="D15" s="291">
        <f>1739.176+0.573</f>
        <v>1739.749</v>
      </c>
      <c r="E15" s="291"/>
      <c r="F15" s="291">
        <f>G15+H15</f>
        <v>1553.18</v>
      </c>
      <c r="G15" s="291">
        <f>J15+Q15</f>
        <v>1553.18</v>
      </c>
      <c r="H15" s="291"/>
      <c r="I15" s="291">
        <f>J15+M15</f>
        <v>1553.18</v>
      </c>
      <c r="J15" s="291">
        <f>K15+L15</f>
        <v>1553.18</v>
      </c>
      <c r="K15" s="303">
        <v>1553.18</v>
      </c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90">
        <f t="shared" si="2"/>
        <v>89.27609672429759</v>
      </c>
      <c r="X15" s="290">
        <f t="shared" si="3"/>
        <v>89.27609672429759</v>
      </c>
      <c r="Y15" s="290"/>
    </row>
    <row r="16" spans="1:25" ht="18.75" customHeight="1">
      <c r="A16" s="289">
        <v>4</v>
      </c>
      <c r="B16" s="299" t="s">
        <v>274</v>
      </c>
      <c r="C16" s="288">
        <f t="shared" si="5"/>
        <v>400</v>
      </c>
      <c r="D16" s="291">
        <v>400</v>
      </c>
      <c r="E16" s="291"/>
      <c r="F16" s="291">
        <f aca="true" t="shared" si="6" ref="F16:F34">G16+H16</f>
        <v>399.37</v>
      </c>
      <c r="G16" s="291">
        <f aca="true" t="shared" si="7" ref="G16:G34">J16+Q16</f>
        <v>399.37</v>
      </c>
      <c r="H16" s="291"/>
      <c r="I16" s="291">
        <f aca="true" t="shared" si="8" ref="I16:I34">J16+M16</f>
        <v>399.37</v>
      </c>
      <c r="J16" s="291">
        <f aca="true" t="shared" si="9" ref="J16:J34">K16+L16</f>
        <v>399.37</v>
      </c>
      <c r="K16" s="303">
        <v>399.37</v>
      </c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90">
        <f t="shared" si="2"/>
        <v>99.8425</v>
      </c>
      <c r="X16" s="290">
        <f t="shared" si="3"/>
        <v>99.8425</v>
      </c>
      <c r="Y16" s="290"/>
    </row>
    <row r="17" spans="1:25" ht="18.75" customHeight="1">
      <c r="A17" s="289">
        <v>5</v>
      </c>
      <c r="B17" s="299" t="s">
        <v>275</v>
      </c>
      <c r="C17" s="288">
        <f t="shared" si="5"/>
        <v>2146.454</v>
      </c>
      <c r="D17" s="291">
        <f>2017+129.454</f>
        <v>2146.454</v>
      </c>
      <c r="E17" s="291"/>
      <c r="F17" s="291">
        <f t="shared" si="6"/>
        <v>1592.837</v>
      </c>
      <c r="G17" s="291">
        <f t="shared" si="7"/>
        <v>1592.837</v>
      </c>
      <c r="H17" s="291"/>
      <c r="I17" s="291">
        <f t="shared" si="8"/>
        <v>1592.837</v>
      </c>
      <c r="J17" s="291">
        <f t="shared" si="9"/>
        <v>1592.837</v>
      </c>
      <c r="K17" s="303">
        <f>1573.613+19.224</f>
        <v>1592.837</v>
      </c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90">
        <f t="shared" si="2"/>
        <v>74.2078330120282</v>
      </c>
      <c r="X17" s="290">
        <f t="shared" si="3"/>
        <v>74.2078330120282</v>
      </c>
      <c r="Y17" s="290"/>
    </row>
    <row r="18" spans="1:25" ht="18.75" customHeight="1">
      <c r="A18" s="289">
        <v>6</v>
      </c>
      <c r="B18" s="300" t="s">
        <v>276</v>
      </c>
      <c r="C18" s="288">
        <f t="shared" si="5"/>
        <v>2012</v>
      </c>
      <c r="D18" s="291">
        <f>1912+100</f>
        <v>2012</v>
      </c>
      <c r="E18" s="291"/>
      <c r="F18" s="291">
        <f t="shared" si="6"/>
        <v>1951.758</v>
      </c>
      <c r="G18" s="291">
        <f t="shared" si="7"/>
        <v>1951.758</v>
      </c>
      <c r="H18" s="291"/>
      <c r="I18" s="291">
        <f t="shared" si="8"/>
        <v>1951.758</v>
      </c>
      <c r="J18" s="291">
        <f t="shared" si="9"/>
        <v>1951.758</v>
      </c>
      <c r="K18" s="303">
        <f>1867.385+84.373</f>
        <v>1951.758</v>
      </c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90">
        <f t="shared" si="2"/>
        <v>97.00586481113321</v>
      </c>
      <c r="X18" s="290">
        <f t="shared" si="3"/>
        <v>97.00586481113321</v>
      </c>
      <c r="Y18" s="290"/>
    </row>
    <row r="19" spans="1:25" ht="18.75" customHeight="1">
      <c r="A19" s="289">
        <v>7</v>
      </c>
      <c r="B19" s="301" t="s">
        <v>277</v>
      </c>
      <c r="C19" s="288">
        <f t="shared" si="5"/>
        <v>1634.37955</v>
      </c>
      <c r="D19" s="291">
        <v>1634.37955</v>
      </c>
      <c r="E19" s="291"/>
      <c r="F19" s="291">
        <f t="shared" si="6"/>
        <v>1050.2125</v>
      </c>
      <c r="G19" s="291">
        <f t="shared" si="7"/>
        <v>1050.2125</v>
      </c>
      <c r="H19" s="291"/>
      <c r="I19" s="291">
        <f t="shared" si="8"/>
        <v>1050.2125</v>
      </c>
      <c r="J19" s="291">
        <f t="shared" si="9"/>
        <v>1050.2125</v>
      </c>
      <c r="K19" s="303">
        <v>1050.2125</v>
      </c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90">
        <f t="shared" si="2"/>
        <v>64.25756489672182</v>
      </c>
      <c r="X19" s="290">
        <f t="shared" si="3"/>
        <v>64.25756489672182</v>
      </c>
      <c r="Y19" s="290"/>
    </row>
    <row r="20" spans="1:25" ht="18.75" customHeight="1">
      <c r="A20" s="289">
        <v>8</v>
      </c>
      <c r="B20" s="301" t="s">
        <v>278</v>
      </c>
      <c r="C20" s="288">
        <f t="shared" si="5"/>
        <v>1918</v>
      </c>
      <c r="D20" s="291">
        <v>1918</v>
      </c>
      <c r="E20" s="291"/>
      <c r="F20" s="291">
        <f t="shared" si="6"/>
        <v>1686.961</v>
      </c>
      <c r="G20" s="291">
        <f t="shared" si="7"/>
        <v>1686.961</v>
      </c>
      <c r="H20" s="291"/>
      <c r="I20" s="291">
        <f t="shared" si="8"/>
        <v>1686.961</v>
      </c>
      <c r="J20" s="291">
        <f t="shared" si="9"/>
        <v>1686.961</v>
      </c>
      <c r="K20" s="303">
        <v>1686.961</v>
      </c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90">
        <f t="shared" si="2"/>
        <v>87.95417101147028</v>
      </c>
      <c r="X20" s="290">
        <f t="shared" si="3"/>
        <v>87.95417101147028</v>
      </c>
      <c r="Y20" s="290"/>
    </row>
    <row r="21" spans="1:25" ht="18.75" customHeight="1">
      <c r="A21" s="289">
        <v>9</v>
      </c>
      <c r="B21" s="301" t="s">
        <v>279</v>
      </c>
      <c r="C21" s="288">
        <f t="shared" si="5"/>
        <v>1903</v>
      </c>
      <c r="D21" s="291">
        <v>1903</v>
      </c>
      <c r="E21" s="291"/>
      <c r="F21" s="291">
        <f t="shared" si="6"/>
        <v>1878.221</v>
      </c>
      <c r="G21" s="291">
        <f t="shared" si="7"/>
        <v>1878.221</v>
      </c>
      <c r="H21" s="291"/>
      <c r="I21" s="291">
        <f t="shared" si="8"/>
        <v>1878.221</v>
      </c>
      <c r="J21" s="291">
        <f t="shared" si="9"/>
        <v>1878.221</v>
      </c>
      <c r="K21" s="303">
        <v>1878.221</v>
      </c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90">
        <f t="shared" si="2"/>
        <v>98.69789805570153</v>
      </c>
      <c r="X21" s="290">
        <f t="shared" si="3"/>
        <v>98.69789805570153</v>
      </c>
      <c r="Y21" s="290"/>
    </row>
    <row r="22" spans="1:25" ht="18.75" customHeight="1">
      <c r="A22" s="289">
        <v>10</v>
      </c>
      <c r="B22" s="301" t="s">
        <v>280</v>
      </c>
      <c r="C22" s="288">
        <f t="shared" si="5"/>
        <v>1803</v>
      </c>
      <c r="D22" s="291">
        <v>1803</v>
      </c>
      <c r="E22" s="291"/>
      <c r="F22" s="291">
        <f t="shared" si="6"/>
        <v>1696.896921</v>
      </c>
      <c r="G22" s="291">
        <f t="shared" si="7"/>
        <v>1696.896921</v>
      </c>
      <c r="H22" s="291"/>
      <c r="I22" s="291">
        <f t="shared" si="8"/>
        <v>1696.896921</v>
      </c>
      <c r="J22" s="291">
        <f t="shared" si="9"/>
        <v>1696.896921</v>
      </c>
      <c r="K22" s="303">
        <v>1696.896921</v>
      </c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90">
        <f t="shared" si="2"/>
        <v>94.11519251247921</v>
      </c>
      <c r="X22" s="290">
        <f t="shared" si="3"/>
        <v>94.11519251247921</v>
      </c>
      <c r="Y22" s="290"/>
    </row>
    <row r="23" spans="1:25" ht="18.75" customHeight="1">
      <c r="A23" s="289">
        <v>11</v>
      </c>
      <c r="B23" s="301" t="s">
        <v>281</v>
      </c>
      <c r="C23" s="288">
        <f t="shared" si="5"/>
        <v>400</v>
      </c>
      <c r="D23" s="291">
        <v>400</v>
      </c>
      <c r="E23" s="291"/>
      <c r="F23" s="291">
        <f t="shared" si="6"/>
        <v>200</v>
      </c>
      <c r="G23" s="291">
        <f t="shared" si="7"/>
        <v>200</v>
      </c>
      <c r="H23" s="291"/>
      <c r="I23" s="291">
        <f t="shared" si="8"/>
        <v>200</v>
      </c>
      <c r="J23" s="291">
        <f t="shared" si="9"/>
        <v>200</v>
      </c>
      <c r="K23" s="303">
        <v>200</v>
      </c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90">
        <f t="shared" si="2"/>
        <v>50</v>
      </c>
      <c r="X23" s="290">
        <f t="shared" si="3"/>
        <v>50</v>
      </c>
      <c r="Y23" s="290"/>
    </row>
    <row r="24" spans="1:25" ht="18.75" customHeight="1">
      <c r="A24" s="289">
        <v>12</v>
      </c>
      <c r="B24" s="301" t="s">
        <v>282</v>
      </c>
      <c r="C24" s="288">
        <f t="shared" si="5"/>
        <v>1873.452</v>
      </c>
      <c r="D24" s="291">
        <f>1858+15.452</f>
        <v>1873.452</v>
      </c>
      <c r="E24" s="291"/>
      <c r="F24" s="291">
        <f t="shared" si="6"/>
        <v>1161.658</v>
      </c>
      <c r="G24" s="291">
        <f t="shared" si="7"/>
        <v>1161.658</v>
      </c>
      <c r="H24" s="291"/>
      <c r="I24" s="291">
        <f t="shared" si="8"/>
        <v>1161.658</v>
      </c>
      <c r="J24" s="291">
        <f t="shared" si="9"/>
        <v>1161.658</v>
      </c>
      <c r="K24" s="303">
        <f>1146.206+15.452</f>
        <v>1161.658</v>
      </c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90">
        <f t="shared" si="2"/>
        <v>62.00628572282609</v>
      </c>
      <c r="X24" s="290">
        <f t="shared" si="3"/>
        <v>62.00628572282609</v>
      </c>
      <c r="Y24" s="290"/>
    </row>
    <row r="25" spans="1:25" ht="18.75" customHeight="1">
      <c r="A25" s="289">
        <v>13</v>
      </c>
      <c r="B25" s="301" t="s">
        <v>283</v>
      </c>
      <c r="C25" s="288">
        <f t="shared" si="5"/>
        <v>292.7408</v>
      </c>
      <c r="D25" s="291">
        <f>253.6268+39.114</f>
        <v>292.7408</v>
      </c>
      <c r="E25" s="291"/>
      <c r="F25" s="291">
        <f t="shared" si="6"/>
        <v>240</v>
      </c>
      <c r="G25" s="291">
        <f t="shared" si="7"/>
        <v>240</v>
      </c>
      <c r="H25" s="291"/>
      <c r="I25" s="291">
        <f t="shared" si="8"/>
        <v>240</v>
      </c>
      <c r="J25" s="291">
        <f t="shared" si="9"/>
        <v>240</v>
      </c>
      <c r="K25" s="303">
        <v>240</v>
      </c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90">
        <f t="shared" si="2"/>
        <v>81.98378907210748</v>
      </c>
      <c r="X25" s="290">
        <f t="shared" si="3"/>
        <v>81.98378907210748</v>
      </c>
      <c r="Y25" s="290"/>
    </row>
    <row r="26" spans="1:25" ht="18.75" customHeight="1">
      <c r="A26" s="289">
        <v>14</v>
      </c>
      <c r="B26" s="301" t="s">
        <v>284</v>
      </c>
      <c r="C26" s="288">
        <f t="shared" si="5"/>
        <v>636.173</v>
      </c>
      <c r="D26" s="291">
        <f>602.11+34.063</f>
        <v>636.173</v>
      </c>
      <c r="E26" s="291"/>
      <c r="F26" s="291">
        <f t="shared" si="6"/>
        <v>573.475066</v>
      </c>
      <c r="G26" s="291">
        <f t="shared" si="7"/>
        <v>573.475066</v>
      </c>
      <c r="H26" s="291"/>
      <c r="I26" s="291">
        <f t="shared" si="8"/>
        <v>573.475066</v>
      </c>
      <c r="J26" s="291">
        <f t="shared" si="9"/>
        <v>573.475066</v>
      </c>
      <c r="K26" s="303">
        <f>557.240413+16.234653</f>
        <v>573.475066</v>
      </c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90">
        <f t="shared" si="2"/>
        <v>90.14451509259274</v>
      </c>
      <c r="X26" s="290">
        <f t="shared" si="3"/>
        <v>90.14451509259274</v>
      </c>
      <c r="Y26" s="290"/>
    </row>
    <row r="27" spans="1:25" ht="18.75" customHeight="1">
      <c r="A27" s="289">
        <v>15</v>
      </c>
      <c r="B27" s="301" t="s">
        <v>285</v>
      </c>
      <c r="C27" s="288">
        <f t="shared" si="5"/>
        <v>0</v>
      </c>
      <c r="D27" s="291"/>
      <c r="E27" s="291"/>
      <c r="F27" s="291">
        <f t="shared" si="6"/>
        <v>0</v>
      </c>
      <c r="G27" s="291">
        <f t="shared" si="7"/>
        <v>0</v>
      </c>
      <c r="H27" s="291"/>
      <c r="I27" s="291">
        <f t="shared" si="8"/>
        <v>0</v>
      </c>
      <c r="J27" s="291">
        <f t="shared" si="9"/>
        <v>0</v>
      </c>
      <c r="K27" s="303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90"/>
      <c r="X27" s="290"/>
      <c r="Y27" s="290"/>
    </row>
    <row r="28" spans="1:25" ht="18.75" customHeight="1">
      <c r="A28" s="289">
        <v>16</v>
      </c>
      <c r="B28" s="301" t="s">
        <v>286</v>
      </c>
      <c r="C28" s="288">
        <f t="shared" si="5"/>
        <v>0</v>
      </c>
      <c r="D28" s="291"/>
      <c r="E28" s="291"/>
      <c r="F28" s="291">
        <f t="shared" si="6"/>
        <v>22.304</v>
      </c>
      <c r="G28" s="291">
        <f t="shared" si="7"/>
        <v>22.304</v>
      </c>
      <c r="H28" s="291"/>
      <c r="I28" s="291">
        <f t="shared" si="8"/>
        <v>22.304</v>
      </c>
      <c r="J28" s="291">
        <f t="shared" si="9"/>
        <v>22.304</v>
      </c>
      <c r="K28" s="303">
        <v>22.304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90"/>
      <c r="X28" s="290"/>
      <c r="Y28" s="290"/>
    </row>
    <row r="29" spans="1:25" ht="18.75" customHeight="1">
      <c r="A29" s="289">
        <v>17</v>
      </c>
      <c r="B29" s="301" t="s">
        <v>287</v>
      </c>
      <c r="C29" s="288">
        <f t="shared" si="5"/>
        <v>1087.06</v>
      </c>
      <c r="D29" s="291">
        <f>1000+87.06</f>
        <v>1087.06</v>
      </c>
      <c r="E29" s="291"/>
      <c r="F29" s="291">
        <f t="shared" si="6"/>
        <v>1012.06</v>
      </c>
      <c r="G29" s="291">
        <f t="shared" si="7"/>
        <v>1012.06</v>
      </c>
      <c r="H29" s="291"/>
      <c r="I29" s="291">
        <f t="shared" si="8"/>
        <v>1012.06</v>
      </c>
      <c r="J29" s="291">
        <f t="shared" si="9"/>
        <v>1012.06</v>
      </c>
      <c r="K29" s="303">
        <f>925+87.06</f>
        <v>1012.06</v>
      </c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90">
        <f t="shared" si="2"/>
        <v>93.10065681747098</v>
      </c>
      <c r="X29" s="290">
        <f t="shared" si="3"/>
        <v>93.10065681747098</v>
      </c>
      <c r="Y29" s="290"/>
    </row>
    <row r="30" spans="1:25" ht="18.75" customHeight="1">
      <c r="A30" s="289">
        <v>18</v>
      </c>
      <c r="B30" s="301" t="s">
        <v>288</v>
      </c>
      <c r="C30" s="288">
        <f t="shared" si="5"/>
        <v>800</v>
      </c>
      <c r="D30" s="291">
        <v>800</v>
      </c>
      <c r="E30" s="291"/>
      <c r="F30" s="291">
        <f t="shared" si="6"/>
        <v>560.7822</v>
      </c>
      <c r="G30" s="291">
        <f t="shared" si="7"/>
        <v>560.7822</v>
      </c>
      <c r="H30" s="291"/>
      <c r="I30" s="291">
        <f t="shared" si="8"/>
        <v>560.7822</v>
      </c>
      <c r="J30" s="291">
        <f t="shared" si="9"/>
        <v>560.7822</v>
      </c>
      <c r="K30" s="303">
        <v>560.7822</v>
      </c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90">
        <f t="shared" si="2"/>
        <v>70.097775</v>
      </c>
      <c r="X30" s="290">
        <f t="shared" si="3"/>
        <v>70.097775</v>
      </c>
      <c r="Y30" s="290"/>
    </row>
    <row r="31" spans="1:25" ht="18.75" customHeight="1">
      <c r="A31" s="289">
        <v>19</v>
      </c>
      <c r="B31" s="301" t="s">
        <v>289</v>
      </c>
      <c r="C31" s="288">
        <f t="shared" si="5"/>
        <v>800</v>
      </c>
      <c r="D31" s="291">
        <v>800</v>
      </c>
      <c r="E31" s="291"/>
      <c r="F31" s="291">
        <f t="shared" si="6"/>
        <v>732.659</v>
      </c>
      <c r="G31" s="291">
        <f t="shared" si="7"/>
        <v>732.659</v>
      </c>
      <c r="H31" s="291"/>
      <c r="I31" s="291">
        <f t="shared" si="8"/>
        <v>732.659</v>
      </c>
      <c r="J31" s="291">
        <f t="shared" si="9"/>
        <v>732.659</v>
      </c>
      <c r="K31" s="303">
        <v>732.659</v>
      </c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90">
        <f t="shared" si="2"/>
        <v>91.582375</v>
      </c>
      <c r="X31" s="290">
        <f t="shared" si="3"/>
        <v>91.582375</v>
      </c>
      <c r="Y31" s="290"/>
    </row>
    <row r="32" spans="1:25" ht="18.75" customHeight="1">
      <c r="A32" s="289">
        <v>20</v>
      </c>
      <c r="B32" s="301" t="s">
        <v>290</v>
      </c>
      <c r="C32" s="288">
        <f t="shared" si="5"/>
        <v>1582.450303</v>
      </c>
      <c r="D32" s="291">
        <f>1557.586+24.864303</f>
        <v>1582.450303</v>
      </c>
      <c r="E32" s="291"/>
      <c r="F32" s="291">
        <f t="shared" si="6"/>
        <v>1099.613</v>
      </c>
      <c r="G32" s="291">
        <f t="shared" si="7"/>
        <v>1099.613</v>
      </c>
      <c r="H32" s="291"/>
      <c r="I32" s="291">
        <f t="shared" si="8"/>
        <v>1099.613</v>
      </c>
      <c r="J32" s="291">
        <f t="shared" si="9"/>
        <v>1099.613</v>
      </c>
      <c r="K32" s="303">
        <v>1099.613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90">
        <f t="shared" si="2"/>
        <v>69.48799579458263</v>
      </c>
      <c r="X32" s="290">
        <f t="shared" si="3"/>
        <v>69.48799579458263</v>
      </c>
      <c r="Y32" s="290"/>
    </row>
    <row r="33" spans="1:25" ht="18.75" customHeight="1">
      <c r="A33" s="289">
        <v>21</v>
      </c>
      <c r="B33" s="301" t="s">
        <v>291</v>
      </c>
      <c r="C33" s="288">
        <f t="shared" si="5"/>
        <v>1700.152</v>
      </c>
      <c r="D33" s="291">
        <v>1700.152</v>
      </c>
      <c r="E33" s="291"/>
      <c r="F33" s="291">
        <f t="shared" si="6"/>
        <v>1661.175</v>
      </c>
      <c r="G33" s="291">
        <f t="shared" si="7"/>
        <v>1661.175</v>
      </c>
      <c r="H33" s="291"/>
      <c r="I33" s="291">
        <f t="shared" si="8"/>
        <v>1661.175</v>
      </c>
      <c r="J33" s="291">
        <f t="shared" si="9"/>
        <v>1661.175</v>
      </c>
      <c r="K33" s="303">
        <v>1661.175</v>
      </c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90">
        <f t="shared" si="2"/>
        <v>97.70744027592826</v>
      </c>
      <c r="X33" s="290">
        <f t="shared" si="3"/>
        <v>97.70744027592826</v>
      </c>
      <c r="Y33" s="290"/>
    </row>
    <row r="34" spans="1:25" ht="18.75" customHeight="1">
      <c r="A34" s="289">
        <v>22</v>
      </c>
      <c r="B34" s="301" t="s">
        <v>292</v>
      </c>
      <c r="C34" s="288">
        <f t="shared" si="5"/>
        <v>1477.206</v>
      </c>
      <c r="D34" s="291">
        <f>1476.206+1</f>
        <v>1477.206</v>
      </c>
      <c r="E34" s="291"/>
      <c r="F34" s="291">
        <f t="shared" si="6"/>
        <v>965.2435</v>
      </c>
      <c r="G34" s="291">
        <f t="shared" si="7"/>
        <v>965.2435</v>
      </c>
      <c r="H34" s="291"/>
      <c r="I34" s="291">
        <f t="shared" si="8"/>
        <v>965.2435</v>
      </c>
      <c r="J34" s="291">
        <f t="shared" si="9"/>
        <v>965.2435</v>
      </c>
      <c r="K34" s="303">
        <v>965.2435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90">
        <f t="shared" si="2"/>
        <v>65.34251147097969</v>
      </c>
      <c r="X34" s="290">
        <f t="shared" si="3"/>
        <v>65.34251147097969</v>
      </c>
      <c r="Y34" s="290"/>
    </row>
    <row r="35" spans="1:25" ht="18.75" customHeight="1">
      <c r="A35" s="296" t="s">
        <v>14</v>
      </c>
      <c r="B35" s="297" t="s">
        <v>114</v>
      </c>
      <c r="C35" s="307">
        <f>SUM(C36:C55)</f>
        <v>33288.680004</v>
      </c>
      <c r="D35" s="307">
        <f aca="true" t="shared" si="10" ref="D35:U35">SUM(D36:D55)</f>
        <v>21846.048072999998</v>
      </c>
      <c r="E35" s="307">
        <f>SUM(E36:E55)</f>
        <v>11442.631930999998</v>
      </c>
      <c r="F35" s="307">
        <f t="shared" si="10"/>
        <v>25560.534047</v>
      </c>
      <c r="G35" s="307">
        <f t="shared" si="10"/>
        <v>18841.653047</v>
      </c>
      <c r="H35" s="307">
        <f t="shared" si="10"/>
        <v>6718.881000000001</v>
      </c>
      <c r="I35" s="307">
        <f t="shared" si="10"/>
        <v>4826.853999999999</v>
      </c>
      <c r="J35" s="307">
        <f t="shared" si="10"/>
        <v>248.572</v>
      </c>
      <c r="K35" s="307">
        <f t="shared" si="10"/>
        <v>248.572</v>
      </c>
      <c r="L35" s="307">
        <f t="shared" si="10"/>
        <v>0</v>
      </c>
      <c r="M35" s="307">
        <f t="shared" si="10"/>
        <v>4578.282</v>
      </c>
      <c r="N35" s="307">
        <f t="shared" si="10"/>
        <v>4578.282</v>
      </c>
      <c r="O35" s="307">
        <f t="shared" si="10"/>
        <v>0</v>
      </c>
      <c r="P35" s="307">
        <f t="shared" si="10"/>
        <v>20733.680047</v>
      </c>
      <c r="Q35" s="307">
        <f t="shared" si="10"/>
        <v>18593.081047000003</v>
      </c>
      <c r="R35" s="307">
        <f t="shared" si="10"/>
        <v>18593.081047000003</v>
      </c>
      <c r="S35" s="307">
        <f t="shared" si="10"/>
        <v>0</v>
      </c>
      <c r="T35" s="307">
        <f t="shared" si="10"/>
        <v>2140.599</v>
      </c>
      <c r="U35" s="307">
        <f t="shared" si="10"/>
        <v>2140.599</v>
      </c>
      <c r="V35" s="307"/>
      <c r="W35" s="306">
        <f t="shared" si="2"/>
        <v>76.78446259788198</v>
      </c>
      <c r="X35" s="306">
        <f t="shared" si="3"/>
        <v>86.2474209707833</v>
      </c>
      <c r="Y35" s="306">
        <f t="shared" si="4"/>
        <v>58.71796838800199</v>
      </c>
    </row>
    <row r="36" spans="1:25" ht="18.75" customHeight="1">
      <c r="A36" s="289">
        <v>1</v>
      </c>
      <c r="B36" s="299" t="s">
        <v>273</v>
      </c>
      <c r="C36" s="302">
        <f>D36+E36</f>
        <v>2299.0161</v>
      </c>
      <c r="D36" s="303">
        <v>1301.176</v>
      </c>
      <c r="E36" s="291">
        <v>997.8401</v>
      </c>
      <c r="F36" s="302">
        <f>G36+H36</f>
        <v>975.66</v>
      </c>
      <c r="G36" s="291">
        <f>J36+Q36</f>
        <v>666.559</v>
      </c>
      <c r="H36" s="291">
        <f>M36+T36</f>
        <v>309.101</v>
      </c>
      <c r="I36" s="302">
        <f>J36+M36</f>
        <v>124.393</v>
      </c>
      <c r="J36" s="302">
        <f>K36+L36</f>
        <v>0</v>
      </c>
      <c r="K36" s="291"/>
      <c r="L36" s="287"/>
      <c r="M36" s="302">
        <f>N36+O36</f>
        <v>124.393</v>
      </c>
      <c r="N36" s="291">
        <v>124.393</v>
      </c>
      <c r="O36" s="287"/>
      <c r="P36" s="302">
        <f>Q36+T36</f>
        <v>851.2669999999999</v>
      </c>
      <c r="Q36" s="302">
        <f>R36+S36</f>
        <v>666.559</v>
      </c>
      <c r="R36" s="302">
        <v>666.559</v>
      </c>
      <c r="S36" s="287"/>
      <c r="T36" s="302">
        <f>U36</f>
        <v>184.708</v>
      </c>
      <c r="U36" s="302">
        <v>184.708</v>
      </c>
      <c r="V36" s="287"/>
      <c r="W36" s="290">
        <f t="shared" si="2"/>
        <v>42.438154304356544</v>
      </c>
      <c r="X36" s="290">
        <f t="shared" si="3"/>
        <v>51.22742811118557</v>
      </c>
      <c r="Y36" s="290">
        <f t="shared" si="4"/>
        <v>30.97700723793321</v>
      </c>
    </row>
    <row r="37" spans="1:25" ht="18.75" customHeight="1">
      <c r="A37" s="289">
        <v>2</v>
      </c>
      <c r="B37" s="299" t="s">
        <v>274</v>
      </c>
      <c r="C37" s="302">
        <f aca="true" t="shared" si="11" ref="C37:C55">D37+E37</f>
        <v>518.181</v>
      </c>
      <c r="D37" s="303">
        <v>324.491</v>
      </c>
      <c r="E37" s="291">
        <v>193.69</v>
      </c>
      <c r="F37" s="302">
        <f aca="true" t="shared" si="12" ref="F37:F55">G37+H37</f>
        <v>319.351</v>
      </c>
      <c r="G37" s="291">
        <f aca="true" t="shared" si="13" ref="G37:G55">J37+Q37</f>
        <v>221.341</v>
      </c>
      <c r="H37" s="291">
        <f aca="true" t="shared" si="14" ref="H37:H55">M37+T37</f>
        <v>98.00999999999999</v>
      </c>
      <c r="I37" s="302">
        <f aca="true" t="shared" si="15" ref="I37:I55">J37+M37</f>
        <v>76.35</v>
      </c>
      <c r="J37" s="302">
        <f aca="true" t="shared" si="16" ref="J37:J55">K37+L37</f>
        <v>0</v>
      </c>
      <c r="K37" s="291"/>
      <c r="L37" s="287"/>
      <c r="M37" s="302">
        <f aca="true" t="shared" si="17" ref="M37:M55">N37+O37</f>
        <v>76.35</v>
      </c>
      <c r="N37" s="291">
        <v>76.35</v>
      </c>
      <c r="O37" s="287"/>
      <c r="P37" s="302">
        <f aca="true" t="shared" si="18" ref="P37:P55">Q37+T37</f>
        <v>243.001</v>
      </c>
      <c r="Q37" s="302">
        <f aca="true" t="shared" si="19" ref="Q37:Q55">R37+S37</f>
        <v>221.341</v>
      </c>
      <c r="R37" s="302">
        <v>221.341</v>
      </c>
      <c r="S37" s="287"/>
      <c r="T37" s="302">
        <f aca="true" t="shared" si="20" ref="T37:T55">U37</f>
        <v>21.66</v>
      </c>
      <c r="U37" s="302">
        <v>21.66</v>
      </c>
      <c r="V37" s="287"/>
      <c r="W37" s="290">
        <f t="shared" si="2"/>
        <v>61.629237660199806</v>
      </c>
      <c r="X37" s="290">
        <f t="shared" si="3"/>
        <v>68.21175317651338</v>
      </c>
      <c r="Y37" s="290">
        <f t="shared" si="4"/>
        <v>50.601476586297686</v>
      </c>
    </row>
    <row r="38" spans="1:25" ht="18.75" customHeight="1">
      <c r="A38" s="289">
        <v>3</v>
      </c>
      <c r="B38" s="299" t="s">
        <v>275</v>
      </c>
      <c r="C38" s="302">
        <f t="shared" si="11"/>
        <v>2117.302</v>
      </c>
      <c r="D38" s="303">
        <v>1228.729</v>
      </c>
      <c r="E38" s="291">
        <v>888.573</v>
      </c>
      <c r="F38" s="302">
        <f t="shared" si="12"/>
        <v>1232.437</v>
      </c>
      <c r="G38" s="291">
        <f t="shared" si="13"/>
        <v>695.519</v>
      </c>
      <c r="H38" s="291">
        <f t="shared" si="14"/>
        <v>536.918</v>
      </c>
      <c r="I38" s="302">
        <f t="shared" si="15"/>
        <v>328.918</v>
      </c>
      <c r="J38" s="302">
        <f t="shared" si="16"/>
        <v>0</v>
      </c>
      <c r="K38" s="291"/>
      <c r="L38" s="287"/>
      <c r="M38" s="302">
        <f t="shared" si="17"/>
        <v>328.918</v>
      </c>
      <c r="N38" s="291">
        <v>328.918</v>
      </c>
      <c r="O38" s="287"/>
      <c r="P38" s="302">
        <f t="shared" si="18"/>
        <v>903.519</v>
      </c>
      <c r="Q38" s="302">
        <f t="shared" si="19"/>
        <v>695.519</v>
      </c>
      <c r="R38" s="302">
        <v>695.519</v>
      </c>
      <c r="S38" s="287"/>
      <c r="T38" s="302">
        <f t="shared" si="20"/>
        <v>208</v>
      </c>
      <c r="U38" s="302">
        <v>208</v>
      </c>
      <c r="V38" s="287"/>
      <c r="W38" s="290">
        <f t="shared" si="2"/>
        <v>58.20789854257919</v>
      </c>
      <c r="X38" s="290">
        <f t="shared" si="3"/>
        <v>56.604751739399006</v>
      </c>
      <c r="Y38" s="290">
        <f t="shared" si="4"/>
        <v>60.42474844497864</v>
      </c>
    </row>
    <row r="39" spans="1:25" ht="18.75" customHeight="1">
      <c r="A39" s="289">
        <v>4</v>
      </c>
      <c r="B39" s="300" t="s">
        <v>276</v>
      </c>
      <c r="C39" s="302">
        <f t="shared" si="11"/>
        <v>1864.531</v>
      </c>
      <c r="D39" s="303">
        <v>783.731</v>
      </c>
      <c r="E39" s="291">
        <v>1080.8</v>
      </c>
      <c r="F39" s="302">
        <f t="shared" si="12"/>
        <v>1282.4879999999998</v>
      </c>
      <c r="G39" s="291">
        <f t="shared" si="13"/>
        <v>749.588</v>
      </c>
      <c r="H39" s="291">
        <f t="shared" si="14"/>
        <v>532.9</v>
      </c>
      <c r="I39" s="302">
        <f t="shared" si="15"/>
        <v>357.45</v>
      </c>
      <c r="J39" s="302">
        <f t="shared" si="16"/>
        <v>0</v>
      </c>
      <c r="K39" s="291"/>
      <c r="L39" s="287"/>
      <c r="M39" s="302">
        <f t="shared" si="17"/>
        <v>357.45</v>
      </c>
      <c r="N39" s="291">
        <v>357.45</v>
      </c>
      <c r="O39" s="287"/>
      <c r="P39" s="302">
        <f t="shared" si="18"/>
        <v>925.038</v>
      </c>
      <c r="Q39" s="302">
        <f t="shared" si="19"/>
        <v>749.588</v>
      </c>
      <c r="R39" s="302">
        <v>749.588</v>
      </c>
      <c r="S39" s="287"/>
      <c r="T39" s="302">
        <f t="shared" si="20"/>
        <v>175.45</v>
      </c>
      <c r="U39" s="302">
        <v>175.45</v>
      </c>
      <c r="V39" s="287"/>
      <c r="W39" s="290">
        <f t="shared" si="2"/>
        <v>68.78340987626378</v>
      </c>
      <c r="X39" s="290">
        <f t="shared" si="3"/>
        <v>95.64353075226066</v>
      </c>
      <c r="Y39" s="290">
        <f t="shared" si="4"/>
        <v>49.30606957809031</v>
      </c>
    </row>
    <row r="40" spans="1:25" ht="18.75" customHeight="1">
      <c r="A40" s="289">
        <v>5</v>
      </c>
      <c r="B40" s="301" t="s">
        <v>277</v>
      </c>
      <c r="C40" s="302">
        <f t="shared" si="11"/>
        <v>1463.28</v>
      </c>
      <c r="D40" s="303">
        <v>750</v>
      </c>
      <c r="E40" s="291">
        <v>713.28</v>
      </c>
      <c r="F40" s="302">
        <f t="shared" si="12"/>
        <v>1444.425</v>
      </c>
      <c r="G40" s="291">
        <f t="shared" si="13"/>
        <v>797.925</v>
      </c>
      <c r="H40" s="291">
        <f t="shared" si="14"/>
        <v>646.5</v>
      </c>
      <c r="I40" s="302">
        <f t="shared" si="15"/>
        <v>630</v>
      </c>
      <c r="J40" s="302">
        <f t="shared" si="16"/>
        <v>65</v>
      </c>
      <c r="K40" s="291">
        <v>65</v>
      </c>
      <c r="L40" s="301"/>
      <c r="M40" s="302">
        <f t="shared" si="17"/>
        <v>565</v>
      </c>
      <c r="N40" s="291">
        <v>565</v>
      </c>
      <c r="O40" s="301"/>
      <c r="P40" s="302">
        <f t="shared" si="18"/>
        <v>814.425</v>
      </c>
      <c r="Q40" s="302">
        <f t="shared" si="19"/>
        <v>732.925</v>
      </c>
      <c r="R40" s="302">
        <v>732.925</v>
      </c>
      <c r="S40" s="301"/>
      <c r="T40" s="302">
        <f t="shared" si="20"/>
        <v>81.5</v>
      </c>
      <c r="U40" s="302">
        <v>81.5</v>
      </c>
      <c r="V40" s="301"/>
      <c r="W40" s="290">
        <f t="shared" si="2"/>
        <v>98.71145645399376</v>
      </c>
      <c r="X40" s="290">
        <f t="shared" si="3"/>
        <v>106.38999999999999</v>
      </c>
      <c r="Y40" s="290">
        <f t="shared" si="4"/>
        <v>90.63761776581427</v>
      </c>
    </row>
    <row r="41" spans="1:25" ht="18.75" customHeight="1">
      <c r="A41" s="289">
        <v>6</v>
      </c>
      <c r="B41" s="301" t="s">
        <v>278</v>
      </c>
      <c r="C41" s="302">
        <f t="shared" si="11"/>
        <v>1418.3</v>
      </c>
      <c r="D41" s="303">
        <v>750</v>
      </c>
      <c r="E41" s="291">
        <f>661.3+7</f>
        <v>668.3</v>
      </c>
      <c r="F41" s="302">
        <f t="shared" si="12"/>
        <v>1003.4350000000001</v>
      </c>
      <c r="G41" s="291">
        <f t="shared" si="13"/>
        <v>809.046</v>
      </c>
      <c r="H41" s="291">
        <f t="shared" si="14"/>
        <v>194.389</v>
      </c>
      <c r="I41" s="302">
        <f t="shared" si="15"/>
        <v>149.089</v>
      </c>
      <c r="J41" s="302">
        <f t="shared" si="16"/>
        <v>60</v>
      </c>
      <c r="K41" s="291">
        <v>60</v>
      </c>
      <c r="L41" s="301"/>
      <c r="M41" s="302">
        <f t="shared" si="17"/>
        <v>89.089</v>
      </c>
      <c r="N41" s="291">
        <f>89.089</f>
        <v>89.089</v>
      </c>
      <c r="O41" s="301"/>
      <c r="P41" s="302">
        <f t="shared" si="18"/>
        <v>854.346</v>
      </c>
      <c r="Q41" s="302">
        <f t="shared" si="19"/>
        <v>749.046</v>
      </c>
      <c r="R41" s="302">
        <v>749.046</v>
      </c>
      <c r="S41" s="301"/>
      <c r="T41" s="302">
        <f t="shared" si="20"/>
        <v>105.3</v>
      </c>
      <c r="U41" s="302">
        <v>105.3</v>
      </c>
      <c r="V41" s="301"/>
      <c r="W41" s="290">
        <f t="shared" si="2"/>
        <v>70.74913628992456</v>
      </c>
      <c r="X41" s="290">
        <f t="shared" si="3"/>
        <v>107.87280000000001</v>
      </c>
      <c r="Y41" s="290">
        <f t="shared" si="4"/>
        <v>29.087086637737546</v>
      </c>
    </row>
    <row r="42" spans="1:25" ht="18.75" customHeight="1">
      <c r="A42" s="289">
        <v>7</v>
      </c>
      <c r="B42" s="301" t="s">
        <v>279</v>
      </c>
      <c r="C42" s="302">
        <f t="shared" si="11"/>
        <v>2194.6325500000003</v>
      </c>
      <c r="D42" s="303">
        <v>1402.337</v>
      </c>
      <c r="E42" s="291">
        <v>792.29555</v>
      </c>
      <c r="F42" s="302">
        <f t="shared" si="12"/>
        <v>1674.202</v>
      </c>
      <c r="G42" s="291">
        <f t="shared" si="13"/>
        <v>1079.711</v>
      </c>
      <c r="H42" s="291">
        <f t="shared" si="14"/>
        <v>594.491</v>
      </c>
      <c r="I42" s="302">
        <f t="shared" si="15"/>
        <v>430.991</v>
      </c>
      <c r="J42" s="302">
        <f t="shared" si="16"/>
        <v>0</v>
      </c>
      <c r="K42" s="291"/>
      <c r="L42" s="301"/>
      <c r="M42" s="302">
        <f t="shared" si="17"/>
        <v>430.991</v>
      </c>
      <c r="N42" s="291">
        <v>430.991</v>
      </c>
      <c r="O42" s="301"/>
      <c r="P42" s="302">
        <f t="shared" si="18"/>
        <v>1243.211</v>
      </c>
      <c r="Q42" s="302">
        <f t="shared" si="19"/>
        <v>1079.711</v>
      </c>
      <c r="R42" s="302">
        <v>1079.711</v>
      </c>
      <c r="S42" s="301"/>
      <c r="T42" s="302">
        <f t="shared" si="20"/>
        <v>163.5</v>
      </c>
      <c r="U42" s="302">
        <v>163.5</v>
      </c>
      <c r="V42" s="301"/>
      <c r="W42" s="290">
        <f t="shared" si="2"/>
        <v>76.28621019040294</v>
      </c>
      <c r="X42" s="290">
        <f t="shared" si="3"/>
        <v>76.99368981920894</v>
      </c>
      <c r="Y42" s="290">
        <f t="shared" si="4"/>
        <v>75.03399457437315</v>
      </c>
    </row>
    <row r="43" spans="1:25" ht="18.75" customHeight="1">
      <c r="A43" s="289">
        <v>8</v>
      </c>
      <c r="B43" s="301" t="s">
        <v>280</v>
      </c>
      <c r="C43" s="302">
        <f t="shared" si="11"/>
        <v>1935.3870000000002</v>
      </c>
      <c r="D43" s="303">
        <v>1213.576</v>
      </c>
      <c r="E43" s="291">
        <v>721.811</v>
      </c>
      <c r="F43" s="302">
        <f t="shared" si="12"/>
        <v>1586.6399999999999</v>
      </c>
      <c r="G43" s="291">
        <f t="shared" si="13"/>
        <v>871.581</v>
      </c>
      <c r="H43" s="291">
        <f t="shared" si="14"/>
        <v>715.059</v>
      </c>
      <c r="I43" s="302">
        <f t="shared" si="15"/>
        <v>621.456</v>
      </c>
      <c r="J43" s="302">
        <f t="shared" si="16"/>
        <v>0</v>
      </c>
      <c r="K43" s="291"/>
      <c r="L43" s="301"/>
      <c r="M43" s="302">
        <f t="shared" si="17"/>
        <v>621.456</v>
      </c>
      <c r="N43" s="291">
        <v>621.456</v>
      </c>
      <c r="O43" s="301"/>
      <c r="P43" s="302">
        <f t="shared" si="18"/>
        <v>965.184</v>
      </c>
      <c r="Q43" s="302">
        <f t="shared" si="19"/>
        <v>871.581</v>
      </c>
      <c r="R43" s="302">
        <v>871.581</v>
      </c>
      <c r="S43" s="301"/>
      <c r="T43" s="302">
        <f t="shared" si="20"/>
        <v>93.603</v>
      </c>
      <c r="U43" s="302">
        <v>93.603</v>
      </c>
      <c r="V43" s="301"/>
      <c r="W43" s="290">
        <f t="shared" si="2"/>
        <v>81.98050312418135</v>
      </c>
      <c r="X43" s="290">
        <f t="shared" si="3"/>
        <v>71.81923505408808</v>
      </c>
      <c r="Y43" s="290">
        <f t="shared" si="4"/>
        <v>99.06457507574696</v>
      </c>
    </row>
    <row r="44" spans="1:25" ht="18.75" customHeight="1">
      <c r="A44" s="289">
        <v>9</v>
      </c>
      <c r="B44" s="301" t="s">
        <v>281</v>
      </c>
      <c r="C44" s="302">
        <f t="shared" si="11"/>
        <v>2917.7907529999998</v>
      </c>
      <c r="D44" s="303">
        <v>2452.532753</v>
      </c>
      <c r="E44" s="291">
        <v>465.258</v>
      </c>
      <c r="F44" s="302">
        <f t="shared" si="12"/>
        <v>2471.642545</v>
      </c>
      <c r="G44" s="291">
        <f t="shared" si="13"/>
        <v>2317.313545</v>
      </c>
      <c r="H44" s="291">
        <f t="shared" si="14"/>
        <v>154.329</v>
      </c>
      <c r="I44" s="302">
        <f t="shared" si="15"/>
        <v>51.509</v>
      </c>
      <c r="J44" s="302">
        <f t="shared" si="16"/>
        <v>0</v>
      </c>
      <c r="K44" s="291"/>
      <c r="L44" s="301"/>
      <c r="M44" s="302">
        <f t="shared" si="17"/>
        <v>51.509</v>
      </c>
      <c r="N44" s="291">
        <v>51.509</v>
      </c>
      <c r="O44" s="301"/>
      <c r="P44" s="302">
        <f t="shared" si="18"/>
        <v>2420.133545</v>
      </c>
      <c r="Q44" s="302">
        <f t="shared" si="19"/>
        <v>2317.313545</v>
      </c>
      <c r="R44" s="302">
        <v>2317.313545</v>
      </c>
      <c r="S44" s="301"/>
      <c r="T44" s="302">
        <f t="shared" si="20"/>
        <v>102.82</v>
      </c>
      <c r="U44" s="302">
        <v>102.82</v>
      </c>
      <c r="V44" s="301"/>
      <c r="W44" s="290">
        <f t="shared" si="2"/>
        <v>84.70938303093595</v>
      </c>
      <c r="X44" s="290">
        <f t="shared" si="3"/>
        <v>94.48654833112437</v>
      </c>
      <c r="Y44" s="290">
        <f t="shared" si="4"/>
        <v>33.17062790967593</v>
      </c>
    </row>
    <row r="45" spans="1:25" ht="18.75" customHeight="1">
      <c r="A45" s="289">
        <v>10</v>
      </c>
      <c r="B45" s="301" t="s">
        <v>282</v>
      </c>
      <c r="C45" s="302">
        <f t="shared" si="11"/>
        <v>2004.341</v>
      </c>
      <c r="D45" s="303">
        <v>925.75</v>
      </c>
      <c r="E45" s="291">
        <v>1078.591</v>
      </c>
      <c r="F45" s="302">
        <f t="shared" si="12"/>
        <v>1915.674</v>
      </c>
      <c r="G45" s="291">
        <f t="shared" si="13"/>
        <v>992.75</v>
      </c>
      <c r="H45" s="291">
        <f t="shared" si="14"/>
        <v>922.924</v>
      </c>
      <c r="I45" s="302">
        <f t="shared" si="15"/>
        <v>807.924</v>
      </c>
      <c r="J45" s="302">
        <f t="shared" si="16"/>
        <v>67</v>
      </c>
      <c r="K45" s="291">
        <v>67</v>
      </c>
      <c r="L45" s="301"/>
      <c r="M45" s="302">
        <f t="shared" si="17"/>
        <v>740.924</v>
      </c>
      <c r="N45" s="291">
        <v>740.924</v>
      </c>
      <c r="O45" s="301"/>
      <c r="P45" s="302">
        <f t="shared" si="18"/>
        <v>1107.75</v>
      </c>
      <c r="Q45" s="302">
        <f t="shared" si="19"/>
        <v>925.75</v>
      </c>
      <c r="R45" s="302">
        <v>925.75</v>
      </c>
      <c r="S45" s="301"/>
      <c r="T45" s="302">
        <f t="shared" si="20"/>
        <v>182</v>
      </c>
      <c r="U45" s="302">
        <v>182</v>
      </c>
      <c r="V45" s="301"/>
      <c r="W45" s="290">
        <f t="shared" si="2"/>
        <v>95.5762517455862</v>
      </c>
      <c r="X45" s="290">
        <f t="shared" si="3"/>
        <v>107.23737510126925</v>
      </c>
      <c r="Y45" s="290">
        <f t="shared" si="4"/>
        <v>85.56755989990646</v>
      </c>
    </row>
    <row r="46" spans="1:25" ht="18.75" customHeight="1">
      <c r="A46" s="289">
        <v>11</v>
      </c>
      <c r="B46" s="301" t="s">
        <v>283</v>
      </c>
      <c r="C46" s="302">
        <f t="shared" si="11"/>
        <v>5439.0475</v>
      </c>
      <c r="D46" s="303">
        <f>4970+350</f>
        <v>5320</v>
      </c>
      <c r="E46" s="291">
        <v>119.0475</v>
      </c>
      <c r="F46" s="302">
        <f t="shared" si="12"/>
        <v>5166.353</v>
      </c>
      <c r="G46" s="291">
        <f t="shared" si="13"/>
        <v>5154.353</v>
      </c>
      <c r="H46" s="291">
        <f t="shared" si="14"/>
        <v>12</v>
      </c>
      <c r="I46" s="302">
        <f t="shared" si="15"/>
        <v>0</v>
      </c>
      <c r="J46" s="302">
        <f t="shared" si="16"/>
        <v>0</v>
      </c>
      <c r="K46" s="291"/>
      <c r="L46" s="301"/>
      <c r="M46" s="302">
        <f t="shared" si="17"/>
        <v>0</v>
      </c>
      <c r="N46" s="291"/>
      <c r="O46" s="301"/>
      <c r="P46" s="302">
        <f t="shared" si="18"/>
        <v>5166.353</v>
      </c>
      <c r="Q46" s="302">
        <f t="shared" si="19"/>
        <v>5154.353</v>
      </c>
      <c r="R46" s="302">
        <v>5154.353</v>
      </c>
      <c r="S46" s="301"/>
      <c r="T46" s="302">
        <f t="shared" si="20"/>
        <v>12</v>
      </c>
      <c r="U46" s="302">
        <v>12</v>
      </c>
      <c r="V46" s="301"/>
      <c r="W46" s="290">
        <f t="shared" si="2"/>
        <v>94.98635560730074</v>
      </c>
      <c r="X46" s="290">
        <f t="shared" si="3"/>
        <v>96.88633458646618</v>
      </c>
      <c r="Y46" s="290">
        <f t="shared" si="4"/>
        <v>10.08001008001008</v>
      </c>
    </row>
    <row r="47" spans="1:25" ht="18.75" customHeight="1">
      <c r="A47" s="289">
        <v>12</v>
      </c>
      <c r="B47" s="301" t="s">
        <v>284</v>
      </c>
      <c r="C47" s="302">
        <f t="shared" si="11"/>
        <v>241.9985</v>
      </c>
      <c r="D47" s="303"/>
      <c r="E47" s="291">
        <v>241.9985</v>
      </c>
      <c r="F47" s="302">
        <f t="shared" si="12"/>
        <v>122.294</v>
      </c>
      <c r="G47" s="291">
        <f t="shared" si="13"/>
        <v>0</v>
      </c>
      <c r="H47" s="291">
        <f t="shared" si="14"/>
        <v>122.294</v>
      </c>
      <c r="I47" s="302">
        <f t="shared" si="15"/>
        <v>12.85</v>
      </c>
      <c r="J47" s="302">
        <f t="shared" si="16"/>
        <v>0</v>
      </c>
      <c r="K47" s="291"/>
      <c r="L47" s="301"/>
      <c r="M47" s="302">
        <f t="shared" si="17"/>
        <v>12.85</v>
      </c>
      <c r="N47" s="291">
        <v>12.85</v>
      </c>
      <c r="O47" s="301"/>
      <c r="P47" s="302">
        <f t="shared" si="18"/>
        <v>109.444</v>
      </c>
      <c r="Q47" s="302">
        <f t="shared" si="19"/>
        <v>0</v>
      </c>
      <c r="R47" s="302"/>
      <c r="S47" s="301"/>
      <c r="T47" s="302">
        <f t="shared" si="20"/>
        <v>109.444</v>
      </c>
      <c r="U47" s="302">
        <v>109.444</v>
      </c>
      <c r="V47" s="301"/>
      <c r="W47" s="290">
        <f t="shared" si="2"/>
        <v>50.535023977421346</v>
      </c>
      <c r="X47" s="290"/>
      <c r="Y47" s="290">
        <f t="shared" si="4"/>
        <v>50.535023977421346</v>
      </c>
    </row>
    <row r="48" spans="1:25" ht="18.75" customHeight="1">
      <c r="A48" s="289">
        <v>13</v>
      </c>
      <c r="B48" s="301" t="s">
        <v>285</v>
      </c>
      <c r="C48" s="302">
        <f t="shared" si="11"/>
        <v>1205.1419999999998</v>
      </c>
      <c r="D48" s="303">
        <v>1127.072</v>
      </c>
      <c r="E48" s="291">
        <v>78.07</v>
      </c>
      <c r="F48" s="302">
        <f t="shared" si="12"/>
        <v>751.244</v>
      </c>
      <c r="G48" s="291">
        <f t="shared" si="13"/>
        <v>732.744</v>
      </c>
      <c r="H48" s="291">
        <f t="shared" si="14"/>
        <v>18.5</v>
      </c>
      <c r="I48" s="302">
        <f t="shared" si="15"/>
        <v>0.5</v>
      </c>
      <c r="J48" s="302">
        <f t="shared" si="16"/>
        <v>0</v>
      </c>
      <c r="K48" s="291"/>
      <c r="L48" s="301"/>
      <c r="M48" s="302">
        <f t="shared" si="17"/>
        <v>0.5</v>
      </c>
      <c r="N48" s="291">
        <v>0.5</v>
      </c>
      <c r="O48" s="301"/>
      <c r="P48" s="302">
        <f t="shared" si="18"/>
        <v>750.744</v>
      </c>
      <c r="Q48" s="302">
        <f t="shared" si="19"/>
        <v>732.744</v>
      </c>
      <c r="R48" s="302">
        <v>732.744</v>
      </c>
      <c r="S48" s="301"/>
      <c r="T48" s="302">
        <f t="shared" si="20"/>
        <v>18</v>
      </c>
      <c r="U48" s="302">
        <v>18</v>
      </c>
      <c r="V48" s="301"/>
      <c r="W48" s="290">
        <f t="shared" si="2"/>
        <v>62.33655453050348</v>
      </c>
      <c r="X48" s="290">
        <f t="shared" si="3"/>
        <v>65.01306039010818</v>
      </c>
      <c r="Y48" s="290">
        <f t="shared" si="4"/>
        <v>23.69668246445498</v>
      </c>
    </row>
    <row r="49" spans="1:25" ht="18.75" customHeight="1">
      <c r="A49" s="289">
        <v>14</v>
      </c>
      <c r="B49" s="301" t="s">
        <v>286</v>
      </c>
      <c r="C49" s="302">
        <f t="shared" si="11"/>
        <v>458.48400000000004</v>
      </c>
      <c r="D49" s="303">
        <v>205</v>
      </c>
      <c r="E49" s="291">
        <v>253.484</v>
      </c>
      <c r="F49" s="302">
        <f t="shared" si="12"/>
        <v>433.792182</v>
      </c>
      <c r="G49" s="291">
        <f t="shared" si="13"/>
        <v>204.228182</v>
      </c>
      <c r="H49" s="291">
        <f t="shared" si="14"/>
        <v>229.56400000000002</v>
      </c>
      <c r="I49" s="302">
        <f t="shared" si="15"/>
        <v>143.3</v>
      </c>
      <c r="J49" s="302">
        <f t="shared" si="16"/>
        <v>0</v>
      </c>
      <c r="K49" s="291"/>
      <c r="L49" s="301"/>
      <c r="M49" s="302">
        <f t="shared" si="17"/>
        <v>143.3</v>
      </c>
      <c r="N49" s="291">
        <v>143.3</v>
      </c>
      <c r="O49" s="301"/>
      <c r="P49" s="302">
        <f t="shared" si="18"/>
        <v>290.492182</v>
      </c>
      <c r="Q49" s="302">
        <f t="shared" si="19"/>
        <v>204.228182</v>
      </c>
      <c r="R49" s="302">
        <v>204.228182</v>
      </c>
      <c r="S49" s="301"/>
      <c r="T49" s="302">
        <f t="shared" si="20"/>
        <v>86.264</v>
      </c>
      <c r="U49" s="302">
        <v>86.264</v>
      </c>
      <c r="V49" s="301"/>
      <c r="W49" s="290">
        <f t="shared" si="2"/>
        <v>94.61446462690083</v>
      </c>
      <c r="X49" s="290">
        <f t="shared" si="3"/>
        <v>99.62350341463416</v>
      </c>
      <c r="Y49" s="290">
        <f t="shared" si="4"/>
        <v>90.56350696690916</v>
      </c>
    </row>
    <row r="50" spans="1:25" ht="18.75" customHeight="1">
      <c r="A50" s="289">
        <v>15</v>
      </c>
      <c r="B50" s="301" t="s">
        <v>287</v>
      </c>
      <c r="C50" s="302">
        <f t="shared" si="11"/>
        <v>797.944</v>
      </c>
      <c r="D50" s="303">
        <v>304</v>
      </c>
      <c r="E50" s="291">
        <v>493.944</v>
      </c>
      <c r="F50" s="302">
        <f t="shared" si="12"/>
        <v>670.444</v>
      </c>
      <c r="G50" s="291">
        <f t="shared" si="13"/>
        <v>436.974</v>
      </c>
      <c r="H50" s="291">
        <f t="shared" si="14"/>
        <v>233.47</v>
      </c>
      <c r="I50" s="302">
        <f t="shared" si="15"/>
        <v>178.004</v>
      </c>
      <c r="J50" s="302">
        <f t="shared" si="16"/>
        <v>52.974</v>
      </c>
      <c r="K50" s="291">
        <v>52.974</v>
      </c>
      <c r="L50" s="301"/>
      <c r="M50" s="302">
        <f t="shared" si="17"/>
        <v>125.03</v>
      </c>
      <c r="N50" s="291">
        <v>125.03</v>
      </c>
      <c r="O50" s="301"/>
      <c r="P50" s="302">
        <f t="shared" si="18"/>
        <v>492.44</v>
      </c>
      <c r="Q50" s="302">
        <f t="shared" si="19"/>
        <v>384</v>
      </c>
      <c r="R50" s="302">
        <v>384</v>
      </c>
      <c r="S50" s="301"/>
      <c r="T50" s="302">
        <f t="shared" si="20"/>
        <v>108.44</v>
      </c>
      <c r="U50" s="302">
        <v>108.44</v>
      </c>
      <c r="V50" s="301"/>
      <c r="W50" s="290">
        <f t="shared" si="2"/>
        <v>84.02143508817662</v>
      </c>
      <c r="X50" s="290">
        <f t="shared" si="3"/>
        <v>143.74144736842106</v>
      </c>
      <c r="Y50" s="290">
        <f t="shared" si="4"/>
        <v>47.26649174805241</v>
      </c>
    </row>
    <row r="51" spans="1:25" ht="18.75" customHeight="1">
      <c r="A51" s="289">
        <v>16</v>
      </c>
      <c r="B51" s="301" t="s">
        <v>288</v>
      </c>
      <c r="C51" s="302">
        <f t="shared" si="11"/>
        <v>560.530038</v>
      </c>
      <c r="D51" s="303">
        <v>304</v>
      </c>
      <c r="E51" s="291">
        <v>256.530038</v>
      </c>
      <c r="F51" s="302">
        <f t="shared" si="12"/>
        <v>482.44399999999996</v>
      </c>
      <c r="G51" s="291">
        <f t="shared" si="13"/>
        <v>281.489</v>
      </c>
      <c r="H51" s="291">
        <f t="shared" si="14"/>
        <v>200.95499999999998</v>
      </c>
      <c r="I51" s="302">
        <f t="shared" si="15"/>
        <v>74.045</v>
      </c>
      <c r="J51" s="302">
        <f t="shared" si="16"/>
        <v>0</v>
      </c>
      <c r="K51" s="291"/>
      <c r="L51" s="301"/>
      <c r="M51" s="302">
        <f t="shared" si="17"/>
        <v>74.045</v>
      </c>
      <c r="N51" s="291">
        <v>74.045</v>
      </c>
      <c r="O51" s="301"/>
      <c r="P51" s="302">
        <f t="shared" si="18"/>
        <v>408.399</v>
      </c>
      <c r="Q51" s="302">
        <f t="shared" si="19"/>
        <v>281.489</v>
      </c>
      <c r="R51" s="302">
        <v>281.489</v>
      </c>
      <c r="S51" s="301"/>
      <c r="T51" s="302">
        <f t="shared" si="20"/>
        <v>126.91</v>
      </c>
      <c r="U51" s="302">
        <v>126.91</v>
      </c>
      <c r="V51" s="301"/>
      <c r="W51" s="290">
        <f t="shared" si="2"/>
        <v>86.06925004793409</v>
      </c>
      <c r="X51" s="290">
        <f t="shared" si="3"/>
        <v>92.59506578947368</v>
      </c>
      <c r="Y51" s="290">
        <f t="shared" si="4"/>
        <v>78.33585554608618</v>
      </c>
    </row>
    <row r="52" spans="1:25" ht="18.75" customHeight="1">
      <c r="A52" s="289">
        <v>17</v>
      </c>
      <c r="B52" s="301" t="s">
        <v>289</v>
      </c>
      <c r="C52" s="302">
        <f t="shared" si="11"/>
        <v>129.003</v>
      </c>
      <c r="D52" s="303"/>
      <c r="E52" s="291">
        <v>129.003</v>
      </c>
      <c r="F52" s="302">
        <f t="shared" si="12"/>
        <v>115.585</v>
      </c>
      <c r="G52" s="291">
        <f t="shared" si="13"/>
        <v>0</v>
      </c>
      <c r="H52" s="291">
        <f t="shared" si="14"/>
        <v>115.585</v>
      </c>
      <c r="I52" s="302">
        <f t="shared" si="15"/>
        <v>115.585</v>
      </c>
      <c r="J52" s="302">
        <f t="shared" si="16"/>
        <v>0</v>
      </c>
      <c r="K52" s="291"/>
      <c r="L52" s="301"/>
      <c r="M52" s="302">
        <f t="shared" si="17"/>
        <v>115.585</v>
      </c>
      <c r="N52" s="291">
        <v>115.585</v>
      </c>
      <c r="O52" s="301"/>
      <c r="P52" s="302">
        <f t="shared" si="18"/>
        <v>0</v>
      </c>
      <c r="Q52" s="302">
        <f t="shared" si="19"/>
        <v>0</v>
      </c>
      <c r="R52" s="302"/>
      <c r="S52" s="301"/>
      <c r="T52" s="302">
        <f t="shared" si="20"/>
        <v>0</v>
      </c>
      <c r="U52" s="302"/>
      <c r="V52" s="301"/>
      <c r="W52" s="290">
        <f t="shared" si="2"/>
        <v>89.59869150329838</v>
      </c>
      <c r="X52" s="290"/>
      <c r="Y52" s="290">
        <f t="shared" si="4"/>
        <v>89.59869150329838</v>
      </c>
    </row>
    <row r="53" spans="1:25" ht="18.75" customHeight="1">
      <c r="A53" s="289">
        <v>18</v>
      </c>
      <c r="B53" s="301" t="s">
        <v>290</v>
      </c>
      <c r="C53" s="302">
        <f t="shared" si="11"/>
        <v>1679.5928</v>
      </c>
      <c r="D53" s="303">
        <v>940.42</v>
      </c>
      <c r="E53" s="291">
        <v>739.1728</v>
      </c>
      <c r="F53" s="302">
        <f t="shared" si="12"/>
        <v>1128.648</v>
      </c>
      <c r="G53" s="291">
        <f t="shared" si="13"/>
        <v>933</v>
      </c>
      <c r="H53" s="291">
        <f t="shared" si="14"/>
        <v>195.648</v>
      </c>
      <c r="I53" s="302">
        <f t="shared" si="15"/>
        <v>49.648</v>
      </c>
      <c r="J53" s="302">
        <f t="shared" si="16"/>
        <v>0</v>
      </c>
      <c r="K53" s="291"/>
      <c r="L53" s="301"/>
      <c r="M53" s="302">
        <f t="shared" si="17"/>
        <v>49.648</v>
      </c>
      <c r="N53" s="291">
        <v>49.648</v>
      </c>
      <c r="O53" s="301"/>
      <c r="P53" s="302">
        <f t="shared" si="18"/>
        <v>1079</v>
      </c>
      <c r="Q53" s="302">
        <f t="shared" si="19"/>
        <v>933</v>
      </c>
      <c r="R53" s="302">
        <v>933</v>
      </c>
      <c r="S53" s="301"/>
      <c r="T53" s="302">
        <f t="shared" si="20"/>
        <v>146</v>
      </c>
      <c r="U53" s="302">
        <v>146</v>
      </c>
      <c r="V53" s="301"/>
      <c r="W53" s="290">
        <f t="shared" si="2"/>
        <v>67.1977160178348</v>
      </c>
      <c r="X53" s="290">
        <f t="shared" si="3"/>
        <v>99.21099083388273</v>
      </c>
      <c r="Y53" s="290">
        <f t="shared" si="4"/>
        <v>26.46850641690278</v>
      </c>
    </row>
    <row r="54" spans="1:25" ht="18.75" customHeight="1">
      <c r="A54" s="289">
        <v>19</v>
      </c>
      <c r="B54" s="301" t="s">
        <v>291</v>
      </c>
      <c r="C54" s="302">
        <f t="shared" si="11"/>
        <v>2012.24832</v>
      </c>
      <c r="D54" s="303">
        <v>1292.51632</v>
      </c>
      <c r="E54" s="291">
        <v>719.732</v>
      </c>
      <c r="F54" s="302">
        <f t="shared" si="12"/>
        <v>2011.7603199999999</v>
      </c>
      <c r="G54" s="291">
        <f t="shared" si="13"/>
        <v>1292.51632</v>
      </c>
      <c r="H54" s="291">
        <f t="shared" si="14"/>
        <v>719.244</v>
      </c>
      <c r="I54" s="302">
        <f t="shared" si="15"/>
        <v>611.244</v>
      </c>
      <c r="J54" s="302">
        <f t="shared" si="16"/>
        <v>0</v>
      </c>
      <c r="K54" s="291"/>
      <c r="L54" s="301"/>
      <c r="M54" s="302">
        <f t="shared" si="17"/>
        <v>611.244</v>
      </c>
      <c r="N54" s="291">
        <v>611.244</v>
      </c>
      <c r="O54" s="301"/>
      <c r="P54" s="302">
        <f t="shared" si="18"/>
        <v>1400.51632</v>
      </c>
      <c r="Q54" s="302">
        <f t="shared" si="19"/>
        <v>1292.51632</v>
      </c>
      <c r="R54" s="302">
        <v>1292.51632</v>
      </c>
      <c r="S54" s="301"/>
      <c r="T54" s="302">
        <f t="shared" si="20"/>
        <v>108</v>
      </c>
      <c r="U54" s="302">
        <v>108</v>
      </c>
      <c r="V54" s="301"/>
      <c r="W54" s="290">
        <f t="shared" si="2"/>
        <v>99.97574851994409</v>
      </c>
      <c r="X54" s="290">
        <f t="shared" si="3"/>
        <v>100</v>
      </c>
      <c r="Y54" s="290">
        <f t="shared" si="4"/>
        <v>99.93219698443309</v>
      </c>
    </row>
    <row r="55" spans="1:25" ht="18.75" customHeight="1">
      <c r="A55" s="289">
        <v>20</v>
      </c>
      <c r="B55" s="301" t="s">
        <v>292</v>
      </c>
      <c r="C55" s="302">
        <f t="shared" si="11"/>
        <v>2031.9284430000002</v>
      </c>
      <c r="D55" s="303">
        <v>1220.717</v>
      </c>
      <c r="E55" s="291">
        <f>798.065432+13.146011</f>
        <v>811.211443</v>
      </c>
      <c r="F55" s="302">
        <f t="shared" si="12"/>
        <v>772.015</v>
      </c>
      <c r="G55" s="291">
        <f t="shared" si="13"/>
        <v>605.015</v>
      </c>
      <c r="H55" s="291">
        <f t="shared" si="14"/>
        <v>167</v>
      </c>
      <c r="I55" s="302">
        <f t="shared" si="15"/>
        <v>63.598</v>
      </c>
      <c r="J55" s="302">
        <f t="shared" si="16"/>
        <v>3.598</v>
      </c>
      <c r="K55" s="291">
        <v>3.598</v>
      </c>
      <c r="L55" s="291"/>
      <c r="M55" s="302">
        <f t="shared" si="17"/>
        <v>60</v>
      </c>
      <c r="N55" s="291">
        <f>60</f>
        <v>60</v>
      </c>
      <c r="O55" s="301"/>
      <c r="P55" s="302">
        <f t="shared" si="18"/>
        <v>708.417</v>
      </c>
      <c r="Q55" s="302">
        <f t="shared" si="19"/>
        <v>601.417</v>
      </c>
      <c r="R55" s="302">
        <v>601.417</v>
      </c>
      <c r="S55" s="301"/>
      <c r="T55" s="302">
        <f t="shared" si="20"/>
        <v>107</v>
      </c>
      <c r="U55" s="302">
        <v>107</v>
      </c>
      <c r="V55" s="301"/>
      <c r="W55" s="290">
        <f t="shared" si="2"/>
        <v>37.9942021413005</v>
      </c>
      <c r="X55" s="290">
        <f t="shared" si="3"/>
        <v>49.56226545546592</v>
      </c>
      <c r="Y55" s="290">
        <f t="shared" si="4"/>
        <v>20.58649461136854</v>
      </c>
    </row>
  </sheetData>
  <sheetProtection/>
  <mergeCells count="28">
    <mergeCell ref="Y8:Y9"/>
    <mergeCell ref="U5:Y5"/>
    <mergeCell ref="J8:L8"/>
    <mergeCell ref="M8:O8"/>
    <mergeCell ref="P8:P9"/>
    <mergeCell ref="Q8:S8"/>
    <mergeCell ref="T8:V8"/>
    <mergeCell ref="X8:X9"/>
    <mergeCell ref="G7:H7"/>
    <mergeCell ref="I7:O7"/>
    <mergeCell ref="P7:V7"/>
    <mergeCell ref="W7:W9"/>
    <mergeCell ref="X7:Y7"/>
    <mergeCell ref="D8:D9"/>
    <mergeCell ref="E8:E9"/>
    <mergeCell ref="G8:G9"/>
    <mergeCell ref="H8:H9"/>
    <mergeCell ref="I8:I9"/>
    <mergeCell ref="A3:Y3"/>
    <mergeCell ref="A4:Y4"/>
    <mergeCell ref="A6:A9"/>
    <mergeCell ref="B6:B9"/>
    <mergeCell ref="C6:E6"/>
    <mergeCell ref="F6:V6"/>
    <mergeCell ref="W6:Y6"/>
    <mergeCell ref="C7:C9"/>
    <mergeCell ref="D7:E7"/>
    <mergeCell ref="F7:F9"/>
  </mergeCells>
  <printOptions/>
  <pageMargins left="0" right="0" top="0.5" bottom="0.5" header="0.3" footer="0.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Microsoft</cp:lastModifiedBy>
  <cp:lastPrinted>2019-08-20T03:45:42Z</cp:lastPrinted>
  <dcterms:created xsi:type="dcterms:W3CDTF">2001-03-03T02:38:26Z</dcterms:created>
  <dcterms:modified xsi:type="dcterms:W3CDTF">2019-08-22T07:18:33Z</dcterms:modified>
  <cp:category/>
  <cp:version/>
  <cp:contentType/>
  <cp:contentStatus/>
</cp:coreProperties>
</file>